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Maringá" sheetId="4" state="visible" r:id="rId6"/>
    <sheet name="Desl. Base Maringá" sheetId="5" state="visible" r:id="rId7"/>
    <sheet name="Base Cascavel" sheetId="6" state="visible" r:id="rId8"/>
    <sheet name="Desl. Base Cascavel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Cascavel'!$B$2:$AW$26</definedName>
    <definedName function="false" hidden="false" localSheetId="3" name="_xlnm.Print_Area" vbProcedure="false">'Base Maringá'!$B$2:$AW$24</definedName>
    <definedName function="false" hidden="false" localSheetId="13" name="_xlnm.Print_Area" vbProcedure="false">BDI!$B$1:$J$44</definedName>
    <definedName function="false" hidden="false" localSheetId="6" name="_xlnm.Print_Area" vbProcedure="false">'Desl. Base Cascavel'!$B$2:$M$54</definedName>
    <definedName function="false" hidden="false" localSheetId="4" name="_xlnm.Print_Area" vbProcedure="false">'Desl. Base Maringá'!$B$2:$M$33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Unidades!$B$2:$H$19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<sst xmlns="http://schemas.openxmlformats.org/spreadsheetml/2006/main" count="828" uniqueCount="329">
  <si>
    <t xml:space="preserve">ANEXO I - B12</t>
  </si>
  <si>
    <t xml:space="preserve">PLANILHA DETALHADA DE FORMAÇÃO DE PREÇO</t>
  </si>
  <si>
    <t xml:space="preserve">POLO 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</si>
  <si>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</si>
  <si>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</si>
  <si>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</si>
  <si>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</si>
  <si>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</si>
  <si>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</si>
  <si>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</si>
  <si>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I.</t>
  </si>
  <si>
    <t xml:space="preserve">Mês</t>
  </si>
  <si>
    <t xml:space="preserve">VALOR TOTAL DO ITEM 1: R$ 1.588.289,16 (um milhão, quinhentos e oitenta e oito mil, duzentos e oitenta e nove reais e dezesseis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</si>
  <si>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</si>
  <si>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</si>
  <si>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</si>
  <si>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</si>
  <si>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</si>
  <si>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</si>
  <si>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</si>
  <si>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</si>
  <si>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MARINGÁ</t>
  </si>
  <si>
    <t xml:space="preserve">CASCAVEL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</si>
  <si>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</si>
  <si>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</si>
  <si>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</si>
  <si>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</si>
  <si>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</si>
  <si>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</si>
  <si>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</si>
  <si>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</si>
  <si>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</si>
  <si>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</si>
  <si>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</si>
  <si>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</si>
  <si>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</si>
  <si>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</si>
  <si>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</si>
  <si>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</si>
  <si>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</si>
  <si>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</si>
  <si>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</si>
  <si>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</si>
  <si>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</si>
  <si>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</si>
  <si>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</si>
  <si>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</si>
  <si>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</si>
  <si>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</si>
  <si>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</si>
  <si>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</si>
  <si>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</si>
  <si>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</si>
  <si>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</si>
  <si>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</si>
  <si>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</si>
  <si>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</si>
  <si>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</si>
  <si>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</si>
  <si>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</si>
  <si>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</si>
  <si>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</si>
  <si>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</si>
  <si>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</si>
  <si>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</si>
  <si>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</si>
  <si>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</si>
  <si>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</si>
  <si>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</si>
  <si>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</si>
  <si>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</si>
  <si>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</si>
  <si>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</si>
  <si>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</si>
  <si>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</si>
  <si>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</si>
  <si>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</si>
  <si>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</si>
  <si>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</si>
  <si>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</si>
  <si>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</si>
  <si>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ASTORGA</t>
  </si>
  <si>
    <t xml:space="preserve">Custo por tipo de rotina</t>
  </si>
  <si>
    <t xml:space="preserve">APS CAMPO MOURÃO</t>
  </si>
  <si>
    <t xml:space="preserve">Custo Anual por tipo de rotina</t>
  </si>
  <si>
    <t xml:space="preserve">APS CIANORTE</t>
  </si>
  <si>
    <t xml:space="preserve">APS COLORADO</t>
  </si>
  <si>
    <t xml:space="preserve">APS CRUZEIRO DO OESTE</t>
  </si>
  <si>
    <t xml:space="preserve">Custo Anual Preventiva</t>
  </si>
  <si>
    <t xml:space="preserve">APS LOANDA</t>
  </si>
  <si>
    <t xml:space="preserve">APS MANDAGUARI</t>
  </si>
  <si>
    <t xml:space="preserve">Custo Anual Corretiva</t>
  </si>
  <si>
    <t xml:space="preserve">APS NOVA ESPERANÇA</t>
  </si>
  <si>
    <t xml:space="preserve">Custo Médio Mensal Manutenção</t>
  </si>
  <si>
    <t xml:space="preserve">APS PAIÇANDU</t>
  </si>
  <si>
    <t xml:space="preserve">Custo Anual Manutenção</t>
  </si>
  <si>
    <t xml:space="preserve">APS PARANAVAÍ</t>
  </si>
  <si>
    <t xml:space="preserve">APS UMUARAMA</t>
  </si>
  <si>
    <t xml:space="preserve">CEDOCPREV MARINGÁ</t>
  </si>
  <si>
    <t xml:space="preserve">GEX/APS MARINGÁ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</si>
  <si>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</si>
  <si>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</si>
  <si>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</si>
  <si>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</si>
  <si>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</si>
  <si>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</si>
  <si>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</si>
  <si>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</si>
  <si>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</si>
  <si>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</si>
  <si>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</si>
  <si>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</si>
  <si>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</si>
  <si>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</si>
  <si>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</si>
  <si>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</si>
  <si>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</si>
  <si>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</si>
  <si>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</si>
  <si>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</si>
  <si>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</si>
  <si>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</si>
  <si>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</si>
  <si>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</si>
  <si>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</si>
  <si>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</si>
  <si>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</si>
  <si>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</si>
  <si>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</si>
  <si>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</si>
  <si>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</si>
  <si>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</si>
  <si>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</si>
  <si>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</si>
  <si>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</si>
  <si>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</si>
  <si>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</si>
  <si>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</si>
  <si>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</si>
  <si>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GOIOERÊ</t>
  </si>
  <si>
    <t xml:space="preserve">GEX CASCAVEL</t>
  </si>
  <si>
    <t xml:space="preserve">APS CASCAVEL</t>
  </si>
  <si>
    <t xml:space="preserve">APS TOLEDO</t>
  </si>
  <si>
    <t xml:space="preserve">APS MARECHAL CÂNDIDO RONDON</t>
  </si>
  <si>
    <t xml:space="preserve">APS ASSIS CHATEAUBRIAND</t>
  </si>
  <si>
    <t xml:space="preserve">APS PALOTINA</t>
  </si>
  <si>
    <t xml:space="preserve">APS GUAÍRA</t>
  </si>
  <si>
    <t xml:space="preserve">APS MEDIANEIRA</t>
  </si>
  <si>
    <t xml:space="preserve">APS SÃO MIGUEL DO IGUAÇU</t>
  </si>
  <si>
    <t xml:space="preserve">APS FOZ DO IGUAÇU</t>
  </si>
  <si>
    <t xml:space="preserve">APS QUEDAS DO IGUAÇU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</si>
  <si>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</si>
  <si>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</si>
  <si>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</si>
  <si>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</si>
  <si>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</si>
  <si>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</si>
  <si>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</si>
  <si>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</si>
  <si>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</si>
  <si>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</si>
  <si>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</si>
  <si>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</si>
  <si>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</si>
  <si>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</si>
  <si>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</si>
  <si>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</si>
  <si>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</si>
  <si>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</si>
  <si>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</si>
  <si>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</si>
  <si>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</si>
  <si>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</si>
  <si>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</si>
  <si>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</si>
  <si>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</si>
  <si>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</si>
  <si>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</si>
  <si>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</si>
  <si>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</si>
  <si>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</si>
  <si>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</si>
  <si>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</si>
  <si>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</si>
  <si>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</si>
  <si>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</si>
  <si>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</si>
  <si>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</si>
  <si>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</si>
  <si>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</si>
  <si>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</si>
  <si>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</si>
  <si>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</si>
  <si>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</si>
  <si>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</si>
  <si>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</si>
  <si>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</si>
  <si>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</si>
  <si>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</si>
  <si>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</si>
  <si>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</si>
  <si>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Não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</si>
  <si>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</si>
  <si>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</si>
  <si>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</si>
  <si>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</si>
  <si>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</si>
  <si>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</si>
  <si>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</si>
  <si>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</si>
  <si>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</si>
  <si>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</si>
  <si>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</si>
  <si>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</si>
  <si>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</si>
  <si>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</si>
  <si>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</si>
  <si>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</si>
  <si>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</si>
  <si>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</si>
  <si>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</si>
  <si>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</si>
  <si>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</si>
  <si>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</si>
  <si>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</si>
  <si>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</si>
  <si>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</si>
  <si>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</si>
  <si>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</si>
  <si>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</si>
  <si>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</si>
  <si>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</si>
  <si>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</si>
  <si>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</si>
  <si>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</si>
  <si>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</si>
  <si>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</si>
  <si>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</si>
  <si>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</si>
  <si>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</si>
  <si>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</si>
  <si>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</si>
  <si>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</si>
  <si>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</si>
  <si>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</si>
  <si>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</si>
  <si>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</si>
  <si>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</si>
  <si>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</si>
  <si>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</si>
  <si>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</si>
  <si>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</si>
  <si>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</si>
  <si>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</si>
  <si>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</si>
  <si>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</si>
  <si>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</si>
  <si>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</si>
  <si>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</si>
  <si>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</si>
  <si>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</si>
  <si>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</si>
  <si>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</si>
  <si>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</si>
  <si>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Nossa Senhora Aparecida, 181</t>
  </si>
  <si>
    <t xml:space="preserve">NÃO</t>
  </si>
  <si>
    <t xml:space="preserve">Av. Manoel Mendes de Camargo, 290, Centro</t>
  </si>
  <si>
    <t xml:space="preserve">SIM</t>
  </si>
  <si>
    <t xml:space="preserve">Av. Goiás, 17</t>
  </si>
  <si>
    <t xml:space="preserve">Rua Adinael Moreira, 11</t>
  </si>
  <si>
    <t xml:space="preserve">Av. Brasil, 3025, Jardim da Luz</t>
  </si>
  <si>
    <t xml:space="preserve">Rua Deputado Accioly Filho, 130, Centro</t>
  </si>
  <si>
    <t xml:space="preserve">Av. Marcos Dias, 315</t>
  </si>
  <si>
    <t xml:space="preserve">Av. Felipe Camarão, 945</t>
  </si>
  <si>
    <t xml:space="preserve">Rua Onésio Francisco de Faria, 755</t>
  </si>
  <si>
    <t xml:space="preserve">Rua Salgado Filho, 789</t>
  </si>
  <si>
    <t xml:space="preserve">Rua Inajá, 3610</t>
  </si>
  <si>
    <t xml:space="preserve">Av. Mauá, 1088</t>
  </si>
  <si>
    <t xml:space="preserve">Av. XV de Novembro, 491</t>
  </si>
  <si>
    <t xml:space="preserve">Av. Libertadores da América, 145</t>
  </si>
  <si>
    <t xml:space="preserve">Rua General Osório, 3423, Centro</t>
  </si>
  <si>
    <t xml:space="preserve">Rua São Paulo, 603, Centro</t>
  </si>
  <si>
    <t xml:space="preserve">Rua Rui Barbosa, 2989, Jd. Gisela</t>
  </si>
  <si>
    <t xml:space="preserve">Av. Rio Grande do Sul, 270</t>
  </si>
  <si>
    <t xml:space="preserve">Rua São Luís, 275</t>
  </si>
  <si>
    <t xml:space="preserve">Rua Vereador Antônio Pozzan, 1797, Centro</t>
  </si>
  <si>
    <t xml:space="preserve">Rua Paraguai, 1145 , Vila Velha</t>
  </si>
  <si>
    <t xml:space="preserve">Rua Riachuelo, 897</t>
  </si>
  <si>
    <t xml:space="preserve">Rua Nereu Ramos, 1313, Centro</t>
  </si>
  <si>
    <t xml:space="preserve">Av. Paraná, 1661</t>
  </si>
  <si>
    <t xml:space="preserve">Rua Romeiras, 528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</si>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</sst>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#,##0.00"/>
    <numFmt numFmtId="170" formatCode="0.00"/>
    <numFmt numFmtId="171" formatCode="0.0000%"/>
    <numFmt numFmtId="172" formatCode="#,##0.00\ ;[RED]\(#,##0.00\)"/>
    <numFmt numFmtId="173" formatCode="#,##0.0"/>
    <numFmt numFmtId="174" formatCode="#,##0"/>
    <numFmt numFmtId="175" formatCode="#,##0;[RED]\(#,##0\)"/>
    <numFmt numFmtId="176" formatCode="0"/>
    <numFmt numFmtId="177" formatCode="@"/>
    <numFmt numFmtId="178" formatCode="mm/yy"/>
    <numFmt numFmtId="179" formatCode="&quot;R$ &quot;#,##0.00"/>
    <numFmt numFmtId="180" formatCode="0.000"/>
    <numFmt numFmtId="181" formatCode="d/m/yyyy"/>
    <numFmt numFmtId="182" formatCode="&quot;R$ &quot;#,##0.00;[RED]&quot;-R$ &quot;#,##0.00"/>
  </numFmts>
  <fonts count="2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D9D9D9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1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3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7" fontId="19" fillId="7" borderId="1" xfId="2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0" fillId="7" borderId="1" xfId="2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7" borderId="0" xfId="25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19" fillId="7" borderId="0" xfId="25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21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9" fillId="7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0" fillId="7" borderId="1" xfId="2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21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7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0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5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9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1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5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5" fillId="7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4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1" fillId="4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1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46800</xdr:colOff>
      <xdr:row>1</xdr:row>
      <xdr:rowOff>1176480</xdr:rowOff>
    </xdr:to>
    <xdr:sp>
      <xdr:nvSpPr>
        <xdr:cNvPr id="0" name="CustomShape 1"/>
        <xdr:cNvSpPr/>
      </xdr:nvSpPr>
      <xdr:spPr>
        <a:xfrm>
          <a:off x="2441160" y="288360"/>
          <a:ext cx="2640600" cy="10785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380880</xdr:colOff>
      <xdr:row>1</xdr:row>
      <xdr:rowOff>1147680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840" cy="939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360</xdr:colOff>
      <xdr:row>21</xdr:row>
      <xdr:rowOff>353160</xdr:rowOff>
    </xdr:from>
    <xdr:to>
      <xdr:col>2</xdr:col>
      <xdr:colOff>2415960</xdr:colOff>
      <xdr:row>22</xdr:row>
      <xdr:rowOff>273960</xdr:rowOff>
    </xdr:to>
    <xdr:pic>
      <xdr:nvPicPr>
        <xdr:cNvPr id="2" name="Figura 4" descr=""/>
        <xdr:cNvPicPr/>
      </xdr:nvPicPr>
      <xdr:blipFill>
        <a:blip r:embed="rId1"/>
        <a:srcRect l="14220" t="63675" r="19683" b="19108"/>
        <a:stretch/>
      </xdr:blipFill>
      <xdr:spPr>
        <a:xfrm>
          <a:off x="407520" y="4391640"/>
          <a:ext cx="6657120" cy="1035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151560</xdr:colOff>
      <xdr:row>28</xdr:row>
      <xdr:rowOff>83160</xdr:rowOff>
    </xdr:from>
    <xdr:to>
      <xdr:col>2</xdr:col>
      <xdr:colOff>2363760</xdr:colOff>
      <xdr:row>32</xdr:row>
      <xdr:rowOff>51120</xdr:rowOff>
    </xdr:to>
    <xdr:pic>
      <xdr:nvPicPr>
        <xdr:cNvPr id="3" name="Figura 7" descr=""/>
        <xdr:cNvPicPr/>
      </xdr:nvPicPr>
      <xdr:blipFill>
        <a:blip r:embed="rId2"/>
        <a:srcRect l="17764" t="51108" r="20988" b="38310"/>
        <a:stretch/>
      </xdr:blipFill>
      <xdr:spPr>
        <a:xfrm>
          <a:off x="558720" y="6912720"/>
          <a:ext cx="6453720" cy="653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28</xdr:row>
      <xdr:rowOff>83160</xdr:rowOff>
    </xdr:from>
    <xdr:to>
      <xdr:col>2</xdr:col>
      <xdr:colOff>2363400</xdr:colOff>
      <xdr:row>32</xdr:row>
      <xdr:rowOff>51120</xdr:rowOff>
    </xdr:to>
    <xdr:pic>
      <xdr:nvPicPr>
        <xdr:cNvPr id="4" name="Figura 7" descr=""/>
        <xdr:cNvPicPr/>
      </xdr:nvPicPr>
      <xdr:blipFill>
        <a:blip r:embed="rId3"/>
        <a:srcRect l="17764" t="51108" r="20988" b="38310"/>
        <a:stretch/>
      </xdr:blipFill>
      <xdr:spPr>
        <a:xfrm>
          <a:off x="558360" y="6912720"/>
          <a:ext cx="6453720" cy="653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J65541"/>
  <sheetViews>
    <sheetView showFormulas="false" showGridLines="fals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G16" activeCellId="0" sqref="G1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" width="5.5"/>
    <col collapsed="false" customWidth="true" hidden="false" outlineLevel="0" max="3" min="3" style="1" width="42.12"/>
    <col collapsed="false" customWidth="true" hidden="false" outlineLevel="0" max="4" min="4" style="1" width="6.12"/>
    <col collapsed="false" customWidth="true" hidden="false" outlineLevel="0" max="5" min="5" style="1" width="5.62"/>
    <col collapsed="false" customWidth="true" hidden="false" outlineLevel="0" max="6" min="6" style="1" width="15.26"/>
    <col collapsed="false" customWidth="true" hidden="false" outlineLevel="0" max="7" min="7" style="1" width="20"/>
    <col collapsed="false" customWidth="true" hidden="false" outlineLevel="0" max="8" min="8" style="1" width="10.62"/>
    <col collapsed="false" customWidth="true" hidden="false" outlineLevel="0" max="9" min="9" style="1" width="12.76"/>
    <col collapsed="false" customWidth="true" hidden="false" outlineLevel="0" max="254" min="10" style="1" width="10.62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2"/>
      <c r="C2" s="2"/>
      <c r="D2" s="2"/>
      <c r="E2" s="2"/>
      <c r="F2" s="2"/>
      <c r="G2" s="2"/>
    </row>
    <row r="3" customFormat="false" ht="18" hidden="false" customHeight="true" outlineLevel="0" collapsed="false">
      <c r="B3" s="3"/>
      <c r="C3" s="3"/>
      <c r="D3" s="3"/>
      <c r="E3" s="3"/>
      <c r="F3" s="3"/>
      <c r="G3" s="3"/>
    </row>
    <row r="4" customFormat="false" ht="18" hidden="false" customHeight="true" outlineLevel="0" collapsed="false">
      <c r="B4" s="4" t="s">
        <v>0</v>
      </c>
      <c r="C4" s="4"/>
      <c r="D4" s="4"/>
      <c r="E4" s="4"/>
      <c r="F4" s="4"/>
      <c r="G4" s="4"/>
    </row>
    <row r="5" customFormat="false" ht="18" hidden="false" customHeight="true" outlineLevel="0" collapsed="false">
      <c r="B5" s="3"/>
      <c r="C5" s="3"/>
      <c r="D5" s="3"/>
      <c r="E5" s="3"/>
      <c r="F5" s="3"/>
      <c r="G5" s="3"/>
    </row>
    <row r="6" customFormat="false" ht="19.5" hidden="false" customHeight="true" outlineLevel="0" collapsed="false">
      <c r="B6" s="5" t="s">
        <v>1</v>
      </c>
      <c r="C6" s="5"/>
      <c r="D6" s="5"/>
      <c r="E6" s="5"/>
      <c r="F6" s="5"/>
      <c r="G6" s="5"/>
    </row>
    <row r="7" customFormat="false" ht="19.5" hidden="false" customHeight="true" outlineLevel="0" collapsed="false">
      <c r="B7" s="6" t="s">
        <v>2</v>
      </c>
      <c r="C7" s="6"/>
      <c r="D7" s="6"/>
      <c r="E7" s="6"/>
      <c r="F7" s="6"/>
      <c r="G7" s="6"/>
    </row>
    <row r="8" customFormat="false" ht="19.5" hidden="false" customHeight="true" outlineLevel="0" collapsed="false">
      <c r="B8" s="7" t="s">
        <v>3</v>
      </c>
      <c r="C8" s="7"/>
      <c r="D8" s="7"/>
      <c r="E8" s="7"/>
      <c r="F8" s="7"/>
      <c r="G8" s="7"/>
    </row>
    <row r="9" customFormat="false" ht="15.75" hidden="false" customHeight="true" outlineLevel="0" collapsed="false">
      <c r="B9" s="3"/>
      <c r="C9" s="3"/>
      <c r="D9" s="3"/>
      <c r="E9" s="3"/>
      <c r="F9" s="3"/>
      <c r="G9" s="3"/>
    </row>
    <row r="10" customFormat="false" ht="42" hidden="false" customHeight="true" outlineLevel="0" collapsed="false">
      <c r="B10" s="8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 customFormat="false" ht="81" hidden="false" customHeight="true" outlineLevel="0" collapsed="false">
      <c r="B11" s="9" t="n">
        <v>1</v>
      </c>
      <c r="C11" s="10" t="s">
        <v>10</v>
      </c>
      <c r="D11" s="11" t="s">
        <v>11</v>
      </c>
      <c r="E11" s="11" t="n">
        <v>12</v>
      </c>
      <c r="F11" s="12" t="n">
        <f aca="false">ROUND(Resumo!D7+Resumo!F7,2)</f>
        <v>132357.43</v>
      </c>
      <c r="G11" s="13" t="n">
        <f aca="false">F11*12</f>
        <v>1588289.16</v>
      </c>
      <c r="I11" s="14"/>
      <c r="J11" s="15"/>
    </row>
    <row r="12" customFormat="false" ht="42" hidden="false" customHeight="true" outlineLevel="0" collapsed="false">
      <c r="B12" s="16" t="s">
        <v>12</v>
      </c>
      <c r="C12" s="16"/>
      <c r="D12" s="16"/>
      <c r="E12" s="16"/>
      <c r="F12" s="16"/>
      <c r="G12" s="16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I15" activeCellId="0" sqref="I15"/>
    </sheetView>
  </sheetViews>
  <sheetFormatPr defaultColWidth="8.453125" defaultRowHeight="12.75" zeroHeight="false" outlineLevelRow="0" outlineLevelCol="0"/>
  <cols>
    <col collapsed="false" customWidth="true" hidden="false" outlineLevel="0" max="1" min="1" style="185" width="5.2"/>
    <col collapsed="false" customWidth="true" hidden="false" outlineLevel="0" max="2" min="2" style="185" width="2.99"/>
    <col collapsed="false" customWidth="true" hidden="false" outlineLevel="0" max="3" min="3" style="185" width="12.21"/>
    <col collapsed="false" customWidth="true" hidden="false" outlineLevel="0" max="4" min="4" style="185" width="60.05"/>
    <col collapsed="false" customWidth="true" hidden="false" outlineLevel="0" max="5" min="5" style="185" width="30.01"/>
    <col collapsed="false" customWidth="true" hidden="false" outlineLevel="0" max="6" min="6" style="185" width="10.01"/>
    <col collapsed="false" customWidth="true" hidden="false" outlineLevel="0" max="7" min="7" style="185" width="13.78"/>
    <col collapsed="false" customWidth="true" hidden="false" outlineLevel="0" max="8" min="8" style="185" width="11.96"/>
    <col collapsed="false" customWidth="true" hidden="false" outlineLevel="0" max="9" min="9" style="185" width="14.03"/>
    <col collapsed="false" customWidth="true" hidden="false" outlineLevel="0" max="1026" min="10" style="185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6" t="s">
        <v>197</v>
      </c>
      <c r="C2" s="186"/>
      <c r="D2" s="186"/>
      <c r="E2" s="186"/>
      <c r="F2" s="186"/>
      <c r="G2" s="186"/>
      <c r="H2" s="186"/>
      <c r="I2" s="186"/>
    </row>
    <row r="3" customFormat="false" ht="19.5" hidden="false" customHeight="true" outlineLevel="0" collapsed="false"/>
    <row r="4" customFormat="false" ht="16.5" hidden="false" customHeight="true" outlineLevel="0" collapsed="false">
      <c r="B4" s="187" t="s">
        <v>198</v>
      </c>
      <c r="C4" s="187"/>
      <c r="D4" s="187"/>
      <c r="E4" s="187"/>
      <c r="F4" s="187"/>
      <c r="G4" s="187"/>
      <c r="H4" s="187"/>
      <c r="I4" s="187"/>
    </row>
    <row r="5" customFormat="false" ht="16.5" hidden="false" customHeight="true" outlineLevel="0" collapsed="false">
      <c r="B5" s="188" t="s">
        <v>154</v>
      </c>
      <c r="C5" s="188"/>
      <c r="D5" s="189" t="n">
        <v>91677</v>
      </c>
      <c r="E5" s="189"/>
      <c r="F5" s="189"/>
      <c r="G5" s="189"/>
      <c r="H5" s="189"/>
      <c r="I5" s="189"/>
    </row>
    <row r="6" customFormat="false" ht="16.5" hidden="false" customHeight="true" outlineLevel="0" collapsed="false">
      <c r="B6" s="188" t="s">
        <v>122</v>
      </c>
      <c r="C6" s="188"/>
      <c r="D6" s="189" t="s">
        <v>199</v>
      </c>
      <c r="E6" s="189"/>
      <c r="F6" s="189"/>
      <c r="G6" s="189"/>
      <c r="H6" s="189"/>
      <c r="I6" s="189"/>
    </row>
    <row r="7" customFormat="false" ht="16.5" hidden="false" customHeight="true" outlineLevel="0" collapsed="false">
      <c r="B7" s="188" t="s">
        <v>157</v>
      </c>
      <c r="C7" s="188"/>
      <c r="D7" s="190" t="s">
        <v>158</v>
      </c>
      <c r="E7" s="190"/>
      <c r="F7" s="190"/>
      <c r="G7" s="190"/>
      <c r="H7" s="190"/>
      <c r="I7" s="190"/>
    </row>
    <row r="8" customFormat="false" ht="16.5" hidden="false" customHeight="true" outlineLevel="0" collapsed="false">
      <c r="B8" s="188" t="s">
        <v>159</v>
      </c>
      <c r="C8" s="188"/>
      <c r="D8" s="189" t="s">
        <v>182</v>
      </c>
      <c r="E8" s="189"/>
      <c r="F8" s="189"/>
      <c r="G8" s="189"/>
      <c r="H8" s="189"/>
      <c r="I8" s="189"/>
    </row>
    <row r="9" customFormat="false" ht="16.5" hidden="false" customHeight="true" outlineLevel="0" collapsed="false">
      <c r="B9" s="188" t="s">
        <v>161</v>
      </c>
      <c r="C9" s="188"/>
      <c r="D9" s="189" t="s">
        <v>200</v>
      </c>
      <c r="E9" s="189"/>
      <c r="F9" s="189"/>
      <c r="G9" s="189"/>
      <c r="H9" s="189"/>
      <c r="I9" s="189"/>
    </row>
    <row r="10" customFormat="false" ht="16.5" hidden="false" customHeight="true" outlineLevel="0" collapsed="false">
      <c r="B10" s="188" t="s">
        <v>123</v>
      </c>
      <c r="C10" s="188"/>
      <c r="D10" s="189" t="s">
        <v>169</v>
      </c>
      <c r="E10" s="189"/>
      <c r="F10" s="189"/>
      <c r="G10" s="189"/>
      <c r="H10" s="189"/>
      <c r="I10" s="189"/>
    </row>
    <row r="11" customFormat="false" ht="23.25" hidden="false" customHeight="true" outlineLevel="0" collapsed="false">
      <c r="B11" s="191" t="s">
        <v>163</v>
      </c>
      <c r="C11" s="191"/>
      <c r="D11" s="192" t="n">
        <f aca="false">SUM(I15:I20)</f>
        <v>127.8325</v>
      </c>
      <c r="E11" s="192"/>
      <c r="F11" s="192"/>
      <c r="G11" s="192"/>
      <c r="H11" s="192"/>
      <c r="I11" s="192"/>
    </row>
    <row r="12" customFormat="false" ht="15.75" hidden="false" customHeight="true" outlineLevel="0" collapsed="false">
      <c r="B12" s="193"/>
      <c r="C12" s="193"/>
      <c r="D12" s="194"/>
      <c r="E12" s="194"/>
      <c r="F12" s="194"/>
      <c r="G12" s="194"/>
      <c r="H12" s="194"/>
      <c r="I12" s="194"/>
    </row>
    <row r="13" customFormat="false" ht="15.75" hidden="false" customHeight="true" outlineLevel="0" collapsed="false">
      <c r="B13" s="193"/>
      <c r="C13" s="193"/>
      <c r="D13" s="194"/>
      <c r="E13" s="194"/>
      <c r="F13" s="194"/>
      <c r="G13" s="194"/>
      <c r="H13" s="194"/>
      <c r="I13" s="194"/>
    </row>
    <row r="14" customFormat="false" ht="39.5" hidden="false" customHeight="false" outlineLevel="0" collapsed="false">
      <c r="B14" s="195"/>
      <c r="C14" s="195" t="s">
        <v>164</v>
      </c>
      <c r="D14" s="195" t="s">
        <v>122</v>
      </c>
      <c r="E14" s="195" t="s">
        <v>161</v>
      </c>
      <c r="F14" s="195" t="s">
        <v>123</v>
      </c>
      <c r="G14" s="195" t="s">
        <v>201</v>
      </c>
      <c r="H14" s="195" t="s">
        <v>165</v>
      </c>
      <c r="I14" s="195" t="s">
        <v>163</v>
      </c>
    </row>
    <row r="15" customFormat="false" ht="19.5" hidden="false" customHeight="true" outlineLevel="0" collapsed="false">
      <c r="B15" s="196" t="s">
        <v>202</v>
      </c>
      <c r="C15" s="196" t="s">
        <v>203</v>
      </c>
      <c r="D15" s="196" t="s">
        <v>204</v>
      </c>
      <c r="E15" s="196" t="s">
        <v>205</v>
      </c>
      <c r="F15" s="196" t="s">
        <v>169</v>
      </c>
      <c r="G15" s="197" t="n">
        <v>3.84</v>
      </c>
      <c r="H15" s="197" t="n">
        <v>1</v>
      </c>
      <c r="I15" s="198" t="n">
        <f aca="false">G15*H15</f>
        <v>3.84</v>
      </c>
      <c r="J15" s="199"/>
      <c r="K15" s="199"/>
    </row>
    <row r="16" customFormat="false" ht="19.5" hidden="false" customHeight="true" outlineLevel="0" collapsed="false">
      <c r="B16" s="196" t="s">
        <v>202</v>
      </c>
      <c r="C16" s="196" t="s">
        <v>206</v>
      </c>
      <c r="D16" s="196" t="s">
        <v>184</v>
      </c>
      <c r="E16" s="196" t="s">
        <v>207</v>
      </c>
      <c r="F16" s="196" t="s">
        <v>169</v>
      </c>
      <c r="G16" s="197" t="n">
        <f aca="false">'Custo Eng. Eletricista'!C14</f>
        <v>122.0625</v>
      </c>
      <c r="H16" s="197" t="n">
        <v>1</v>
      </c>
      <c r="I16" s="198" t="n">
        <f aca="false">G16*H16</f>
        <v>122.0625</v>
      </c>
      <c r="J16" s="199"/>
      <c r="K16" s="199"/>
    </row>
    <row r="17" customFormat="false" ht="30" hidden="false" customHeight="true" outlineLevel="0" collapsed="false">
      <c r="B17" s="196" t="s">
        <v>202</v>
      </c>
      <c r="C17" s="196" t="s">
        <v>208</v>
      </c>
      <c r="D17" s="196" t="s">
        <v>209</v>
      </c>
      <c r="E17" s="196" t="s">
        <v>210</v>
      </c>
      <c r="F17" s="196" t="s">
        <v>169</v>
      </c>
      <c r="G17" s="197" t="s">
        <v>211</v>
      </c>
      <c r="H17" s="197" t="n">
        <v>1</v>
      </c>
      <c r="I17" s="198" t="n">
        <f aca="false">G17*H17</f>
        <v>1.14</v>
      </c>
      <c r="J17" s="199"/>
      <c r="K17" s="199"/>
    </row>
    <row r="18" customFormat="false" ht="30" hidden="false" customHeight="true" outlineLevel="0" collapsed="false">
      <c r="B18" s="196" t="s">
        <v>202</v>
      </c>
      <c r="C18" s="196" t="s">
        <v>212</v>
      </c>
      <c r="D18" s="196" t="s">
        <v>213</v>
      </c>
      <c r="E18" s="196" t="s">
        <v>214</v>
      </c>
      <c r="F18" s="196" t="s">
        <v>169</v>
      </c>
      <c r="G18" s="197" t="s">
        <v>215</v>
      </c>
      <c r="H18" s="197" t="n">
        <v>1</v>
      </c>
      <c r="I18" s="198" t="n">
        <f aca="false">G18*H18</f>
        <v>0.07</v>
      </c>
      <c r="J18" s="199"/>
      <c r="K18" s="199"/>
    </row>
    <row r="19" customFormat="false" ht="30" hidden="false" customHeight="true" outlineLevel="0" collapsed="false">
      <c r="B19" s="196" t="s">
        <v>202</v>
      </c>
      <c r="C19" s="196" t="s">
        <v>216</v>
      </c>
      <c r="D19" s="196" t="s">
        <v>217</v>
      </c>
      <c r="E19" s="196" t="s">
        <v>218</v>
      </c>
      <c r="F19" s="196" t="s">
        <v>169</v>
      </c>
      <c r="G19" s="197" t="s">
        <v>219</v>
      </c>
      <c r="H19" s="197" t="n">
        <v>1</v>
      </c>
      <c r="I19" s="198" t="n">
        <f aca="false">G19*H19</f>
        <v>0.01</v>
      </c>
      <c r="J19" s="199"/>
      <c r="K19" s="199"/>
    </row>
    <row r="20" customFormat="false" ht="30" hidden="false" customHeight="true" outlineLevel="0" collapsed="false">
      <c r="B20" s="196" t="s">
        <v>202</v>
      </c>
      <c r="C20" s="196" t="s">
        <v>220</v>
      </c>
      <c r="D20" s="196" t="s">
        <v>221</v>
      </c>
      <c r="E20" s="196" t="s">
        <v>218</v>
      </c>
      <c r="F20" s="196" t="s">
        <v>169</v>
      </c>
      <c r="G20" s="197" t="s">
        <v>222</v>
      </c>
      <c r="H20" s="197" t="n">
        <v>1</v>
      </c>
      <c r="I20" s="198" t="n">
        <f aca="false">G20*H20</f>
        <v>0.71</v>
      </c>
      <c r="J20" s="199"/>
      <c r="K20" s="199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4" activeCellId="0" sqref="A4"/>
    </sheetView>
  </sheetViews>
  <sheetFormatPr defaultColWidth="10.50390625" defaultRowHeight="13.5" zeroHeight="false" outlineLevelRow="0" outlineLevelCol="0"/>
  <cols>
    <col collapsed="false" customWidth="true" hidden="false" outlineLevel="0" max="1" min="1" style="200" width="5.26"/>
    <col collapsed="false" customWidth="true" hidden="false" outlineLevel="0" max="2" min="2" style="200" width="54.76"/>
    <col collapsed="false" customWidth="true" hidden="false" outlineLevel="0" max="3" min="3" style="200" width="38.76"/>
    <col collapsed="false" customWidth="true" hidden="false" outlineLevel="0" max="4" min="4" style="200" width="31.12"/>
    <col collapsed="false" customWidth="false" hidden="false" outlineLevel="0" max="1024" min="5" style="200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201" t="s">
        <v>182</v>
      </c>
    </row>
    <row r="3" customFormat="false" ht="13.5" hidden="false" customHeight="false" outlineLevel="0" collapsed="false">
      <c r="B3" s="202" t="s">
        <v>223</v>
      </c>
      <c r="C3" s="201" t="s">
        <v>224</v>
      </c>
    </row>
    <row r="4" customFormat="false" ht="15" hidden="false" customHeight="false" outlineLevel="0" collapsed="false">
      <c r="B4" s="202" t="s">
        <v>225</v>
      </c>
      <c r="C4" s="203" t="s">
        <v>226</v>
      </c>
    </row>
    <row r="5" customFormat="false" ht="13.5" hidden="false" customHeight="false" outlineLevel="0" collapsed="false">
      <c r="B5" s="202" t="s">
        <v>187</v>
      </c>
      <c r="C5" s="203" t="n">
        <v>45078</v>
      </c>
    </row>
    <row r="6" customFormat="false" ht="26.25" hidden="false" customHeight="false" outlineLevel="0" collapsed="false">
      <c r="B6" s="202" t="s">
        <v>227</v>
      </c>
      <c r="C6" s="203" t="s">
        <v>228</v>
      </c>
    </row>
    <row r="7" customFormat="false" ht="13.5" hidden="false" customHeight="false" outlineLevel="0" collapsed="false">
      <c r="B7" s="202" t="s">
        <v>229</v>
      </c>
      <c r="C7" s="204" t="n">
        <v>2596</v>
      </c>
    </row>
    <row r="8" customFormat="false" ht="13.5" hidden="false" customHeight="false" outlineLevel="0" collapsed="false">
      <c r="B8" s="205"/>
      <c r="C8" s="206"/>
    </row>
    <row r="9" customFormat="false" ht="26.25" hidden="false" customHeight="false" outlineLevel="0" collapsed="false">
      <c r="B9" s="207" t="s">
        <v>230</v>
      </c>
      <c r="C9" s="202"/>
    </row>
    <row r="10" customFormat="false" ht="13.5" hidden="false" customHeight="false" outlineLevel="0" collapsed="false">
      <c r="B10" s="202" t="s">
        <v>191</v>
      </c>
      <c r="C10" s="208" t="n">
        <v>0.8708</v>
      </c>
    </row>
    <row r="11" customFormat="false" ht="13.5" hidden="false" customHeight="false" outlineLevel="0" collapsed="false">
      <c r="B11" s="202" t="s">
        <v>231</v>
      </c>
      <c r="C11" s="208" t="n">
        <v>0.488</v>
      </c>
    </row>
    <row r="12" customFormat="false" ht="13.5" hidden="false" customHeight="false" outlineLevel="0" collapsed="false">
      <c r="B12" s="202" t="s">
        <v>192</v>
      </c>
      <c r="C12" s="208" t="n">
        <v>1.17</v>
      </c>
    </row>
    <row r="13" customFormat="false" ht="13.5" hidden="false" customHeight="false" outlineLevel="0" collapsed="false">
      <c r="B13" s="202" t="s">
        <v>232</v>
      </c>
      <c r="C13" s="208" t="n">
        <v>0.7268</v>
      </c>
    </row>
    <row r="14" customFormat="false" ht="13.5" hidden="false" customHeight="true" outlineLevel="0" collapsed="false">
      <c r="B14" s="205"/>
      <c r="C14" s="205"/>
    </row>
    <row r="15" customFormat="false" ht="13.5" hidden="false" customHeight="false" outlineLevel="0" collapsed="false">
      <c r="B15" s="209" t="s">
        <v>233</v>
      </c>
      <c r="C15" s="210"/>
    </row>
    <row r="16" customFormat="false" ht="15" hidden="false" customHeight="false" outlineLevel="0" collapsed="false">
      <c r="B16" s="202" t="s">
        <v>234</v>
      </c>
      <c r="C16" s="210" t="n">
        <f aca="false">C7*(1+C11)</f>
        <v>3862.848</v>
      </c>
    </row>
    <row r="17" customFormat="false" ht="15" hidden="false" customHeight="false" outlineLevel="0" collapsed="false">
      <c r="B17" s="202" t="s">
        <v>235</v>
      </c>
      <c r="C17" s="210" t="n">
        <f aca="false">C7*(1+C13)</f>
        <v>4482.7728</v>
      </c>
    </row>
    <row r="18" customFormat="false" ht="15" hidden="false" customHeight="false" outlineLevel="0" collapsed="false">
      <c r="B18" s="202" t="s">
        <v>236</v>
      </c>
      <c r="C18" s="211" t="n">
        <f aca="false">C16*(1+C10)/(220*(1+C11))</f>
        <v>22.07544</v>
      </c>
    </row>
    <row r="19" customFormat="false" ht="15" hidden="false" customHeight="false" outlineLevel="0" collapsed="false">
      <c r="B19" s="202" t="s">
        <v>237</v>
      </c>
      <c r="C19" s="211" t="n">
        <f aca="false">(C17*(1+C12)/(220*(1+C13)))</f>
        <v>25.606</v>
      </c>
    </row>
    <row r="21" customFormat="false" ht="13.5" hidden="false" customHeight="false" outlineLevel="0" collapsed="false">
      <c r="B21" s="200" t="s">
        <v>238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212" t="s">
        <v>239</v>
      </c>
      <c r="C23" s="212"/>
    </row>
    <row r="24" customFormat="false" ht="33.75" hidden="false" customHeight="true" outlineLevel="0" collapsed="false">
      <c r="B24" s="212" t="s">
        <v>240</v>
      </c>
      <c r="C24" s="212"/>
    </row>
    <row r="25" customFormat="false" ht="23.25" hidden="false" customHeight="true" outlineLevel="0" collapsed="false">
      <c r="B25" s="212" t="s">
        <v>241</v>
      </c>
      <c r="C25" s="212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5" activeCellId="0" sqref="G15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26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.25"/>
    <col collapsed="false" customWidth="true" hidden="false" outlineLevel="0" max="5" min="5" style="0" width="30.12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242</v>
      </c>
      <c r="C2" s="152"/>
      <c r="D2" s="152"/>
      <c r="E2" s="152"/>
      <c r="F2" s="152"/>
      <c r="G2" s="152"/>
      <c r="H2" s="152"/>
      <c r="I2" s="152"/>
    </row>
    <row r="3" customFormat="false" ht="19.5" hidden="false" customHeight="true" outlineLevel="0" collapsed="false"/>
    <row r="4" customFormat="false" ht="16.5" hidden="false" customHeight="true" outlineLevel="0" collapsed="false">
      <c r="B4" s="153" t="s">
        <v>243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154</v>
      </c>
      <c r="C5" s="154"/>
      <c r="D5" s="155" t="n">
        <v>88264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244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157</v>
      </c>
      <c r="C7" s="154"/>
      <c r="D7" s="156" t="s">
        <v>158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159</v>
      </c>
      <c r="C8" s="154"/>
      <c r="D8" s="155" t="s">
        <v>182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161</v>
      </c>
      <c r="C9" s="154"/>
      <c r="D9" s="155" t="s">
        <v>200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169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163</v>
      </c>
      <c r="C11" s="157"/>
      <c r="D11" s="158" t="n">
        <f aca="false">SUM(I14:I22)</f>
        <v>34.79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41.25" hidden="false" customHeight="false" outlineLevel="0" collapsed="false">
      <c r="B13" s="161"/>
      <c r="C13" s="161" t="s">
        <v>164</v>
      </c>
      <c r="D13" s="161" t="s">
        <v>122</v>
      </c>
      <c r="E13" s="161" t="s">
        <v>161</v>
      </c>
      <c r="F13" s="161" t="s">
        <v>123</v>
      </c>
      <c r="G13" s="161" t="s">
        <v>201</v>
      </c>
      <c r="H13" s="161" t="s">
        <v>165</v>
      </c>
      <c r="I13" s="161" t="s">
        <v>163</v>
      </c>
    </row>
    <row r="14" customFormat="false" ht="27.75" hidden="false" customHeight="true" outlineLevel="0" collapsed="false">
      <c r="B14" s="162" t="s">
        <v>166</v>
      </c>
      <c r="C14" s="162" t="n">
        <v>95332</v>
      </c>
      <c r="D14" s="162" t="s">
        <v>245</v>
      </c>
      <c r="E14" s="162" t="s">
        <v>200</v>
      </c>
      <c r="F14" s="162" t="s">
        <v>169</v>
      </c>
      <c r="G14" s="164" t="n">
        <v>1</v>
      </c>
      <c r="H14" s="164" t="n">
        <v>1</v>
      </c>
      <c r="I14" s="213" t="n">
        <f aca="false">G14*H14</f>
        <v>1</v>
      </c>
      <c r="J14" s="214"/>
      <c r="K14" s="214"/>
    </row>
    <row r="15" customFormat="false" ht="32.25" hidden="false" customHeight="true" outlineLevel="0" collapsed="false">
      <c r="B15" s="162" t="s">
        <v>202</v>
      </c>
      <c r="C15" s="162" t="s">
        <v>246</v>
      </c>
      <c r="D15" s="162" t="s">
        <v>247</v>
      </c>
      <c r="E15" s="162" t="s">
        <v>207</v>
      </c>
      <c r="F15" s="162" t="s">
        <v>169</v>
      </c>
      <c r="G15" s="164" t="n">
        <v>25.61</v>
      </c>
      <c r="H15" s="164" t="n">
        <v>1</v>
      </c>
      <c r="I15" s="213" t="n">
        <f aca="false">G15*H15</f>
        <v>25.61</v>
      </c>
      <c r="J15" s="214"/>
      <c r="K15" s="214"/>
    </row>
    <row r="16" customFormat="false" ht="42" hidden="false" customHeight="true" outlineLevel="0" collapsed="false">
      <c r="B16" s="162" t="s">
        <v>202</v>
      </c>
      <c r="C16" s="162" t="n">
        <v>37370</v>
      </c>
      <c r="D16" s="162" t="s">
        <v>248</v>
      </c>
      <c r="E16" s="162" t="s">
        <v>210</v>
      </c>
      <c r="F16" s="162" t="s">
        <v>169</v>
      </c>
      <c r="G16" s="164" t="n">
        <v>3.79</v>
      </c>
      <c r="H16" s="164" t="n">
        <v>1</v>
      </c>
      <c r="I16" s="213" t="n">
        <f aca="false">G16*H16</f>
        <v>3.79</v>
      </c>
      <c r="J16" s="214"/>
      <c r="K16" s="214"/>
    </row>
    <row r="17" customFormat="false" ht="27.75" hidden="false" customHeight="true" outlineLevel="0" collapsed="false">
      <c r="B17" s="162" t="s">
        <v>202</v>
      </c>
      <c r="C17" s="162" t="n">
        <v>37371</v>
      </c>
      <c r="D17" s="162" t="s">
        <v>249</v>
      </c>
      <c r="E17" s="162" t="s">
        <v>250</v>
      </c>
      <c r="F17" s="162" t="s">
        <v>169</v>
      </c>
      <c r="G17" s="164" t="n">
        <v>0.86</v>
      </c>
      <c r="H17" s="164" t="n">
        <v>1</v>
      </c>
      <c r="I17" s="213" t="n">
        <f aca="false">G17*H17</f>
        <v>0.86</v>
      </c>
      <c r="J17" s="214"/>
      <c r="K17" s="214"/>
    </row>
    <row r="18" customFormat="false" ht="42" hidden="false" customHeight="true" outlineLevel="0" collapsed="false">
      <c r="B18" s="162" t="s">
        <v>202</v>
      </c>
      <c r="C18" s="162" t="n">
        <v>37372</v>
      </c>
      <c r="D18" s="162" t="s">
        <v>209</v>
      </c>
      <c r="E18" s="162" t="s">
        <v>210</v>
      </c>
      <c r="F18" s="162" t="s">
        <v>169</v>
      </c>
      <c r="G18" s="164" t="n">
        <v>1.14</v>
      </c>
      <c r="H18" s="164" t="n">
        <v>1</v>
      </c>
      <c r="I18" s="213" t="n">
        <f aca="false">G18*H18</f>
        <v>1.14</v>
      </c>
      <c r="J18" s="214"/>
      <c r="K18" s="214"/>
    </row>
    <row r="19" customFormat="false" ht="27.75" hidden="false" customHeight="true" outlineLevel="0" collapsed="false">
      <c r="B19" s="162" t="s">
        <v>202</v>
      </c>
      <c r="C19" s="162" t="n">
        <v>37373</v>
      </c>
      <c r="D19" s="162" t="s">
        <v>213</v>
      </c>
      <c r="E19" s="162" t="s">
        <v>214</v>
      </c>
      <c r="F19" s="162" t="s">
        <v>169</v>
      </c>
      <c r="G19" s="164" t="n">
        <v>0.07</v>
      </c>
      <c r="H19" s="164" t="n">
        <v>1</v>
      </c>
      <c r="I19" s="213" t="n">
        <f aca="false">G19*H19</f>
        <v>0.07</v>
      </c>
      <c r="J19" s="214"/>
      <c r="K19" s="214"/>
    </row>
    <row r="20" customFormat="false" ht="26.25" hidden="false" customHeight="false" outlineLevel="0" collapsed="false">
      <c r="B20" s="162" t="s">
        <v>202</v>
      </c>
      <c r="C20" s="162" t="n">
        <v>43460</v>
      </c>
      <c r="D20" s="162" t="s">
        <v>251</v>
      </c>
      <c r="E20" s="162" t="s">
        <v>218</v>
      </c>
      <c r="F20" s="162" t="s">
        <v>169</v>
      </c>
      <c r="G20" s="164" t="n">
        <v>0.86</v>
      </c>
      <c r="H20" s="164" t="n">
        <v>1</v>
      </c>
      <c r="I20" s="213" t="n">
        <f aca="false">G20*H20</f>
        <v>0.86</v>
      </c>
      <c r="J20" s="214"/>
      <c r="K20" s="214"/>
    </row>
    <row r="21" customFormat="false" ht="26.25" hidden="false" customHeight="false" outlineLevel="0" collapsed="false">
      <c r="B21" s="215" t="s">
        <v>202</v>
      </c>
      <c r="C21" s="215" t="n">
        <v>43461</v>
      </c>
      <c r="D21" s="215" t="s">
        <v>252</v>
      </c>
      <c r="E21" s="215" t="s">
        <v>218</v>
      </c>
      <c r="F21" s="215" t="s">
        <v>169</v>
      </c>
      <c r="G21" s="216" t="n">
        <v>0.32</v>
      </c>
      <c r="H21" s="216" t="n">
        <v>1</v>
      </c>
      <c r="I21" s="217" t="n">
        <f aca="false">G21*H21</f>
        <v>0.32</v>
      </c>
      <c r="J21" s="214"/>
      <c r="K21" s="214"/>
    </row>
    <row r="22" customFormat="false" ht="26.25" hidden="false" customHeight="false" outlineLevel="0" collapsed="false">
      <c r="B22" s="162" t="s">
        <v>202</v>
      </c>
      <c r="C22" s="162" t="n">
        <v>43484</v>
      </c>
      <c r="D22" s="162" t="s">
        <v>253</v>
      </c>
      <c r="E22" s="162" t="s">
        <v>218</v>
      </c>
      <c r="F22" s="162" t="s">
        <v>169</v>
      </c>
      <c r="G22" s="164" t="n">
        <v>1.14</v>
      </c>
      <c r="H22" s="164" t="n">
        <v>1</v>
      </c>
      <c r="I22" s="213" t="n">
        <f aca="false">G22*H22</f>
        <v>1.14</v>
      </c>
      <c r="J22" s="214"/>
      <c r="K22" s="214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9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L31" activeCellId="0" sqref="L31"/>
    </sheetView>
  </sheetViews>
  <sheetFormatPr defaultColWidth="10.25781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7" width="15.5"/>
    <col collapsed="false" customWidth="true" hidden="false" outlineLevel="0" max="3" min="3" style="18" width="16.26"/>
    <col collapsed="false" customWidth="true" hidden="false" outlineLevel="0" max="4" min="4" style="17" width="31.88"/>
    <col collapsed="false" customWidth="true" hidden="false" outlineLevel="0" max="5" min="5" style="17" width="36.88"/>
    <col collapsed="false" customWidth="true" hidden="false" outlineLevel="0" max="6" min="6" style="18" width="15.26"/>
    <col collapsed="false" customWidth="true" hidden="false" outlineLevel="0" max="7" min="7" style="17" width="9"/>
    <col collapsed="false" customWidth="true" hidden="false" outlineLevel="0" max="8" min="8" style="17" width="9.12"/>
    <col collapsed="false" customWidth="true" hidden="false" outlineLevel="0" max="9" min="9" style="17" width="12"/>
    <col collapsed="false" customWidth="true" hidden="false" outlineLevel="0" max="11" min="10" style="17" width="11.25"/>
    <col collapsed="false" customWidth="true" hidden="false" outlineLevel="0" max="12" min="12" style="17" width="10.38"/>
    <col collapsed="false" customWidth="true" hidden="false" outlineLevel="0" max="13" min="13" style="17" width="10.5"/>
    <col collapsed="false" customWidth="true" hidden="false" outlineLevel="0" max="14" min="14" style="17" width="12.5"/>
    <col collapsed="false" customWidth="true" hidden="false" outlineLevel="0" max="259" min="15" style="17" width="10.5"/>
  </cols>
  <sheetData>
    <row r="1" customFormat="false" ht="15" hidden="false" customHeight="true" outlineLevel="0" collapsed="false"/>
    <row r="2" s="218" customFormat="true" ht="29.25" hidden="false" customHeight="true" outlineLevel="0" collapsed="false">
      <c r="B2" s="219" t="str">
        <f aca="false">"RELAÇÃO DE UNIDADES DO "&amp;'Valor da Contratação'!B7&amp;""</f>
        <v>RELAÇÃO DE UNIDADES DO POLO I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="17" customFormat="true" ht="15" hidden="false" customHeight="true" outlineLevel="0" collapsed="false"/>
    <row r="4" customFormat="false" ht="66.75" hidden="false" customHeight="true" outlineLevel="0" collapsed="false">
      <c r="B4" s="30" t="s">
        <v>254</v>
      </c>
      <c r="C4" s="30" t="s">
        <v>13</v>
      </c>
      <c r="D4" s="30" t="s">
        <v>41</v>
      </c>
      <c r="E4" s="30" t="s">
        <v>255</v>
      </c>
      <c r="F4" s="30" t="s">
        <v>256</v>
      </c>
      <c r="G4" s="30" t="s">
        <v>257</v>
      </c>
      <c r="H4" s="30" t="s">
        <v>71</v>
      </c>
      <c r="I4" s="30" t="s">
        <v>258</v>
      </c>
      <c r="J4" s="30" t="s">
        <v>259</v>
      </c>
      <c r="K4" s="30" t="s">
        <v>260</v>
      </c>
      <c r="L4" s="30" t="s">
        <v>261</v>
      </c>
      <c r="M4" s="30" t="s">
        <v>262</v>
      </c>
      <c r="N4" s="30" t="s">
        <v>263</v>
      </c>
    </row>
    <row r="5" customFormat="false" ht="18" hidden="false" customHeight="true" outlineLevel="0" collapsed="false">
      <c r="B5" s="220" t="s">
        <v>21</v>
      </c>
      <c r="C5" s="220" t="s">
        <v>21</v>
      </c>
      <c r="D5" s="62" t="s">
        <v>81</v>
      </c>
      <c r="E5" s="221" t="s">
        <v>264</v>
      </c>
      <c r="F5" s="64" t="n">
        <f aca="false">117/60</f>
        <v>1.95</v>
      </c>
      <c r="G5" s="222" t="n">
        <v>0.03</v>
      </c>
      <c r="H5" s="222" t="n">
        <f aca="false">HLOOKUP(G5,BDI!$D$19:$J$30,12,)</f>
        <v>0.2354</v>
      </c>
      <c r="I5" s="223" t="n">
        <v>334.4</v>
      </c>
      <c r="J5" s="223" t="n">
        <v>296</v>
      </c>
      <c r="K5" s="223" t="n">
        <v>38.4</v>
      </c>
      <c r="L5" s="223" t="n">
        <v>0</v>
      </c>
      <c r="M5" s="223" t="s">
        <v>265</v>
      </c>
      <c r="N5" s="223" t="s">
        <v>265</v>
      </c>
    </row>
    <row r="6" customFormat="false" ht="18" hidden="false" customHeight="true" outlineLevel="0" collapsed="false">
      <c r="B6" s="220" t="s">
        <v>21</v>
      </c>
      <c r="C6" s="220" t="s">
        <v>21</v>
      </c>
      <c r="D6" s="62" t="s">
        <v>83</v>
      </c>
      <c r="E6" s="221" t="s">
        <v>266</v>
      </c>
      <c r="F6" s="64" t="n">
        <f aca="false">156/60</f>
        <v>2.6</v>
      </c>
      <c r="G6" s="222" t="n">
        <v>0.05</v>
      </c>
      <c r="H6" s="222" t="n">
        <f aca="false">HLOOKUP(G6,BDI!$D$19:$J$30,12,)</f>
        <v>0.2624</v>
      </c>
      <c r="I6" s="223" t="n">
        <v>2272.18</v>
      </c>
      <c r="J6" s="223" t="n">
        <v>1403.37</v>
      </c>
      <c r="K6" s="223" t="n">
        <v>651.61</v>
      </c>
      <c r="L6" s="223" t="n">
        <v>217.2</v>
      </c>
      <c r="M6" s="223" t="s">
        <v>267</v>
      </c>
      <c r="N6" s="223" t="s">
        <v>267</v>
      </c>
    </row>
    <row r="7" customFormat="false" ht="18" hidden="false" customHeight="true" outlineLevel="0" collapsed="false">
      <c r="B7" s="220" t="s">
        <v>21</v>
      </c>
      <c r="C7" s="220" t="s">
        <v>21</v>
      </c>
      <c r="D7" s="62" t="s">
        <v>85</v>
      </c>
      <c r="E7" s="224" t="s">
        <v>268</v>
      </c>
      <c r="F7" s="64" t="n">
        <f aca="false">76*2/60</f>
        <v>2.53333333333333</v>
      </c>
      <c r="G7" s="222" t="n">
        <v>0.03</v>
      </c>
      <c r="H7" s="222" t="n">
        <f aca="false">HLOOKUP(G7,BDI!$D$19:$J$30,12,)</f>
        <v>0.2354</v>
      </c>
      <c r="I7" s="223" t="n">
        <v>948.9</v>
      </c>
      <c r="J7" s="223" t="n">
        <v>585</v>
      </c>
      <c r="K7" s="223" t="n">
        <v>363.9</v>
      </c>
      <c r="L7" s="223" t="n">
        <v>0</v>
      </c>
      <c r="M7" s="223" t="s">
        <v>265</v>
      </c>
      <c r="N7" s="223" t="s">
        <v>265</v>
      </c>
    </row>
    <row r="8" customFormat="false" ht="18" hidden="false" customHeight="true" outlineLevel="0" collapsed="false">
      <c r="B8" s="220" t="s">
        <v>21</v>
      </c>
      <c r="C8" s="220" t="s">
        <v>21</v>
      </c>
      <c r="D8" s="62" t="s">
        <v>86</v>
      </c>
      <c r="E8" s="224" t="s">
        <v>269</v>
      </c>
      <c r="F8" s="64" t="n">
        <f aca="false">82*2/60</f>
        <v>2.73333333333333</v>
      </c>
      <c r="G8" s="222" t="n">
        <v>0.03</v>
      </c>
      <c r="H8" s="222" t="n">
        <f aca="false">HLOOKUP(G8,BDI!$D$19:$J$30,12,)</f>
        <v>0.2354</v>
      </c>
      <c r="I8" s="223" t="n">
        <v>334.4</v>
      </c>
      <c r="J8" s="223" t="n">
        <v>296</v>
      </c>
      <c r="K8" s="223" t="n">
        <v>38.4</v>
      </c>
      <c r="L8" s="223" t="n">
        <v>0</v>
      </c>
      <c r="M8" s="223" t="s">
        <v>265</v>
      </c>
      <c r="N8" s="223" t="s">
        <v>265</v>
      </c>
    </row>
    <row r="9" customFormat="false" ht="18" hidden="false" customHeight="true" outlineLevel="0" collapsed="false">
      <c r="B9" s="220" t="s">
        <v>21</v>
      </c>
      <c r="C9" s="220" t="s">
        <v>21</v>
      </c>
      <c r="D9" s="62" t="s">
        <v>87</v>
      </c>
      <c r="E9" s="221" t="s">
        <v>270</v>
      </c>
      <c r="F9" s="64" t="n">
        <f aca="false">114*2/60</f>
        <v>3.8</v>
      </c>
      <c r="G9" s="222" t="n">
        <v>0.04</v>
      </c>
      <c r="H9" s="222" t="n">
        <f aca="false">HLOOKUP(G9,BDI!$D$19:$J$30,12,)</f>
        <v>0.2487</v>
      </c>
      <c r="I9" s="223" t="n">
        <v>334.4</v>
      </c>
      <c r="J9" s="223" t="n">
        <v>296</v>
      </c>
      <c r="K9" s="223" t="n">
        <v>38.4</v>
      </c>
      <c r="L9" s="223" t="n">
        <v>0</v>
      </c>
      <c r="M9" s="223" t="s">
        <v>265</v>
      </c>
      <c r="N9" s="223" t="s">
        <v>265</v>
      </c>
    </row>
    <row r="10" customFormat="false" ht="18" hidden="false" customHeight="true" outlineLevel="0" collapsed="false">
      <c r="B10" s="220" t="s">
        <v>21</v>
      </c>
      <c r="C10" s="220" t="s">
        <v>21</v>
      </c>
      <c r="D10" s="62" t="s">
        <v>89</v>
      </c>
      <c r="E10" s="221" t="s">
        <v>271</v>
      </c>
      <c r="F10" s="64" t="n">
        <f aca="false">69*2/60</f>
        <v>2.3</v>
      </c>
      <c r="G10" s="222" t="n">
        <v>0.05</v>
      </c>
      <c r="H10" s="222" t="n">
        <f aca="false">HLOOKUP(G10,BDI!$D$19:$J$30,12,)</f>
        <v>0.2624</v>
      </c>
      <c r="I10" s="223" t="n">
        <v>645.13</v>
      </c>
      <c r="J10" s="223" t="n">
        <v>452.2</v>
      </c>
      <c r="K10" s="223" t="n">
        <v>91.93</v>
      </c>
      <c r="L10" s="223" t="n">
        <v>101</v>
      </c>
      <c r="M10" s="223" t="s">
        <v>265</v>
      </c>
      <c r="N10" s="223" t="s">
        <v>265</v>
      </c>
    </row>
    <row r="11" customFormat="false" ht="18" hidden="false" customHeight="true" outlineLevel="0" collapsed="false">
      <c r="B11" s="220" t="s">
        <v>21</v>
      </c>
      <c r="C11" s="220" t="s">
        <v>21</v>
      </c>
      <c r="D11" s="62" t="s">
        <v>90</v>
      </c>
      <c r="E11" s="221" t="s">
        <v>272</v>
      </c>
      <c r="F11" s="64" t="n">
        <f aca="false">90/60</f>
        <v>1.5</v>
      </c>
      <c r="G11" s="222" t="n">
        <v>0.03</v>
      </c>
      <c r="H11" s="222" t="n">
        <f aca="false">HLOOKUP(G11,BDI!$D$19:$J$30,12,)</f>
        <v>0.2354</v>
      </c>
      <c r="I11" s="223" t="n">
        <v>334.4</v>
      </c>
      <c r="J11" s="223" t="n">
        <v>296</v>
      </c>
      <c r="K11" s="223" t="n">
        <v>38.4</v>
      </c>
      <c r="L11" s="223" t="n">
        <v>0</v>
      </c>
      <c r="M11" s="223" t="s">
        <v>265</v>
      </c>
      <c r="N11" s="223" t="s">
        <v>265</v>
      </c>
    </row>
    <row r="12" customFormat="false" ht="18" hidden="false" customHeight="true" outlineLevel="0" collapsed="false">
      <c r="B12" s="220" t="s">
        <v>21</v>
      </c>
      <c r="C12" s="220" t="s">
        <v>21</v>
      </c>
      <c r="D12" s="62" t="s">
        <v>92</v>
      </c>
      <c r="E12" s="221" t="s">
        <v>273</v>
      </c>
      <c r="F12" s="64" t="n">
        <f aca="false">92/60</f>
        <v>1.53333333333333</v>
      </c>
      <c r="G12" s="222" t="n">
        <v>0.02</v>
      </c>
      <c r="H12" s="222" t="n">
        <f aca="false">HLOOKUP(G12,BDI!$D$19:$J$30,12,)</f>
        <v>0.2223</v>
      </c>
      <c r="I12" s="223" t="n">
        <v>334.4</v>
      </c>
      <c r="J12" s="223" t="n">
        <v>296</v>
      </c>
      <c r="K12" s="223" t="n">
        <v>38.4</v>
      </c>
      <c r="L12" s="223" t="n">
        <v>0</v>
      </c>
      <c r="M12" s="223" t="s">
        <v>265</v>
      </c>
      <c r="N12" s="223" t="s">
        <v>265</v>
      </c>
    </row>
    <row r="13" customFormat="false" ht="18" hidden="false" customHeight="true" outlineLevel="0" collapsed="false">
      <c r="B13" s="220" t="s">
        <v>21</v>
      </c>
      <c r="C13" s="220" t="s">
        <v>21</v>
      </c>
      <c r="D13" s="62" t="s">
        <v>94</v>
      </c>
      <c r="E13" s="221" t="s">
        <v>274</v>
      </c>
      <c r="F13" s="64" t="n">
        <f aca="false">42/60</f>
        <v>0.7</v>
      </c>
      <c r="G13" s="222" t="n">
        <v>0.03</v>
      </c>
      <c r="H13" s="222" t="n">
        <f aca="false">HLOOKUP(G13,BDI!$D$19:$J$30,12,)</f>
        <v>0.2354</v>
      </c>
      <c r="I13" s="223" t="n">
        <v>334.4</v>
      </c>
      <c r="J13" s="223" t="n">
        <v>296</v>
      </c>
      <c r="K13" s="223" t="n">
        <v>38.4</v>
      </c>
      <c r="L13" s="223" t="n">
        <v>0</v>
      </c>
      <c r="M13" s="223" t="s">
        <v>265</v>
      </c>
      <c r="N13" s="223" t="s">
        <v>265</v>
      </c>
    </row>
    <row r="14" customFormat="false" ht="18" hidden="false" customHeight="true" outlineLevel="0" collapsed="false">
      <c r="B14" s="220" t="s">
        <v>21</v>
      </c>
      <c r="C14" s="220" t="s">
        <v>21</v>
      </c>
      <c r="D14" s="62" t="s">
        <v>96</v>
      </c>
      <c r="E14" s="221" t="s">
        <v>275</v>
      </c>
      <c r="F14" s="64" t="n">
        <f aca="false">114/60</f>
        <v>1.9</v>
      </c>
      <c r="G14" s="222" t="n">
        <v>0.04</v>
      </c>
      <c r="H14" s="222" t="n">
        <f aca="false">HLOOKUP(G14,BDI!$D$19:$J$30,12,)</f>
        <v>0.2487</v>
      </c>
      <c r="I14" s="223" t="n">
        <v>2638.17</v>
      </c>
      <c r="J14" s="223" t="n">
        <v>1217.05</v>
      </c>
      <c r="K14" s="223" t="n">
        <v>346.5</v>
      </c>
      <c r="L14" s="223" t="n">
        <v>1074.62</v>
      </c>
      <c r="M14" s="223" t="s">
        <v>267</v>
      </c>
      <c r="N14" s="223" t="s">
        <v>267</v>
      </c>
    </row>
    <row r="15" customFormat="false" ht="18" hidden="false" customHeight="true" outlineLevel="0" collapsed="false">
      <c r="B15" s="220" t="s">
        <v>21</v>
      </c>
      <c r="C15" s="220" t="s">
        <v>21</v>
      </c>
      <c r="D15" s="62" t="s">
        <v>97</v>
      </c>
      <c r="E15" s="221" t="s">
        <v>276</v>
      </c>
      <c r="F15" s="64" t="n">
        <f aca="false">284/60</f>
        <v>4.73333333333333</v>
      </c>
      <c r="G15" s="222" t="n">
        <v>0.02</v>
      </c>
      <c r="H15" s="222" t="n">
        <f aca="false">HLOOKUP(G15,BDI!$D$19:$J$30,12,)</f>
        <v>0.2223</v>
      </c>
      <c r="I15" s="223" t="n">
        <v>3345.5</v>
      </c>
      <c r="J15" s="223" t="n">
        <v>2007</v>
      </c>
      <c r="K15" s="223" t="n">
        <v>1003.5</v>
      </c>
      <c r="L15" s="223" t="n">
        <v>335</v>
      </c>
      <c r="M15" s="223" t="s">
        <v>267</v>
      </c>
      <c r="N15" s="223" t="s">
        <v>267</v>
      </c>
    </row>
    <row r="16" customFormat="false" ht="18" hidden="false" customHeight="true" outlineLevel="0" collapsed="false">
      <c r="B16" s="220" t="s">
        <v>21</v>
      </c>
      <c r="C16" s="220" t="s">
        <v>21</v>
      </c>
      <c r="D16" s="62" t="s">
        <v>98</v>
      </c>
      <c r="E16" s="221" t="s">
        <v>277</v>
      </c>
      <c r="F16" s="64" t="n">
        <f aca="false">20/60</f>
        <v>0.333333333333333</v>
      </c>
      <c r="G16" s="222" t="n">
        <v>0.03</v>
      </c>
      <c r="H16" s="222" t="n">
        <f aca="false">HLOOKUP(G16,BDI!$D$19:$J$30,12,)</f>
        <v>0.2354</v>
      </c>
      <c r="I16" s="223" t="n">
        <v>1122</v>
      </c>
      <c r="J16" s="223" t="n">
        <v>882</v>
      </c>
      <c r="K16" s="223" t="n">
        <v>240</v>
      </c>
      <c r="L16" s="223" t="n">
        <v>0</v>
      </c>
      <c r="M16" s="223" t="s">
        <v>265</v>
      </c>
      <c r="N16" s="223" t="s">
        <v>265</v>
      </c>
    </row>
    <row r="17" customFormat="false" ht="18" hidden="false" customHeight="true" outlineLevel="0" collapsed="false">
      <c r="B17" s="220" t="s">
        <v>21</v>
      </c>
      <c r="C17" s="220" t="s">
        <v>21</v>
      </c>
      <c r="D17" s="62" t="s">
        <v>99</v>
      </c>
      <c r="E17" s="221" t="s">
        <v>278</v>
      </c>
      <c r="F17" s="64" t="n">
        <v>0</v>
      </c>
      <c r="G17" s="222" t="n">
        <v>0.03</v>
      </c>
      <c r="H17" s="222" t="n">
        <f aca="false">HLOOKUP(G17,BDI!$D$19:$J$30,12,)</f>
        <v>0.2354</v>
      </c>
      <c r="I17" s="223" t="n">
        <v>3140.36</v>
      </c>
      <c r="J17" s="223" t="n">
        <v>2714.7</v>
      </c>
      <c r="K17" s="223" t="n">
        <v>425.66</v>
      </c>
      <c r="L17" s="223" t="n">
        <v>0</v>
      </c>
      <c r="M17" s="223" t="s">
        <v>267</v>
      </c>
      <c r="N17" s="223" t="s">
        <v>267</v>
      </c>
    </row>
    <row r="18" customFormat="false" ht="18" hidden="false" customHeight="true" outlineLevel="0" collapsed="false">
      <c r="B18" s="220" t="s">
        <v>21</v>
      </c>
      <c r="C18" s="220" t="s">
        <v>22</v>
      </c>
      <c r="D18" s="62" t="s">
        <v>139</v>
      </c>
      <c r="E18" s="221" t="s">
        <v>279</v>
      </c>
      <c r="F18" s="64" t="n">
        <f aca="false">214/60</f>
        <v>3.56666666666667</v>
      </c>
      <c r="G18" s="222" t="n">
        <v>0.02</v>
      </c>
      <c r="H18" s="222" t="n">
        <f aca="false">HLOOKUP(G18,BDI!$D$19:$J$30,12,)</f>
        <v>0.2223</v>
      </c>
      <c r="I18" s="223" t="n">
        <v>851.2</v>
      </c>
      <c r="J18" s="223" t="n">
        <v>425.6</v>
      </c>
      <c r="K18" s="223" t="n">
        <v>42.56</v>
      </c>
      <c r="L18" s="223" t="n">
        <v>383.04</v>
      </c>
      <c r="M18" s="223" t="s">
        <v>267</v>
      </c>
      <c r="N18" s="223" t="s">
        <v>267</v>
      </c>
    </row>
    <row r="19" customFormat="false" ht="18" hidden="false" customHeight="true" outlineLevel="0" collapsed="false">
      <c r="B19" s="220" t="s">
        <v>22</v>
      </c>
      <c r="C19" s="220" t="s">
        <v>22</v>
      </c>
      <c r="D19" s="62" t="s">
        <v>140</v>
      </c>
      <c r="E19" s="221" t="s">
        <v>280</v>
      </c>
      <c r="F19" s="64" t="n">
        <v>0</v>
      </c>
      <c r="G19" s="222" t="n">
        <v>0.03</v>
      </c>
      <c r="H19" s="222" t="n">
        <f aca="false">HLOOKUP(G19,BDI!$D$19:$J$30,12,)</f>
        <v>0.2354</v>
      </c>
      <c r="I19" s="223" t="n">
        <v>1200</v>
      </c>
      <c r="J19" s="223" t="n">
        <v>0</v>
      </c>
      <c r="K19" s="223" t="n">
        <v>0</v>
      </c>
      <c r="L19" s="223" t="n">
        <v>0</v>
      </c>
      <c r="M19" s="223" t="s">
        <v>267</v>
      </c>
      <c r="N19" s="223" t="s">
        <v>265</v>
      </c>
    </row>
    <row r="20" customFormat="false" ht="18" hidden="false" customHeight="true" outlineLevel="0" collapsed="false">
      <c r="B20" s="220" t="s">
        <v>22</v>
      </c>
      <c r="C20" s="220" t="s">
        <v>22</v>
      </c>
      <c r="D20" s="62" t="s">
        <v>141</v>
      </c>
      <c r="E20" s="221" t="s">
        <v>281</v>
      </c>
      <c r="F20" s="64" t="n">
        <f aca="false">4/60</f>
        <v>0.0666666666666667</v>
      </c>
      <c r="G20" s="222" t="n">
        <v>0.03</v>
      </c>
      <c r="H20" s="222" t="n">
        <f aca="false">HLOOKUP(G20,BDI!$D$19:$J$30,12,)</f>
        <v>0.2354</v>
      </c>
      <c r="I20" s="223" t="n">
        <v>3298.13</v>
      </c>
      <c r="J20" s="223" t="n">
        <v>1621.17</v>
      </c>
      <c r="K20" s="223" t="n">
        <v>1676.96</v>
      </c>
      <c r="L20" s="223" t="n">
        <v>0</v>
      </c>
      <c r="M20" s="223" t="s">
        <v>267</v>
      </c>
      <c r="N20" s="223" t="s">
        <v>267</v>
      </c>
    </row>
    <row r="21" customFormat="false" ht="18" hidden="false" customHeight="true" outlineLevel="0" collapsed="false">
      <c r="B21" s="220" t="s">
        <v>22</v>
      </c>
      <c r="C21" s="220" t="s">
        <v>22</v>
      </c>
      <c r="D21" s="62" t="s">
        <v>142</v>
      </c>
      <c r="E21" s="221" t="s">
        <v>282</v>
      </c>
      <c r="F21" s="64" t="n">
        <f aca="false">84/60</f>
        <v>1.4</v>
      </c>
      <c r="G21" s="222" t="n">
        <v>0.03</v>
      </c>
      <c r="H21" s="222" t="n">
        <f aca="false">HLOOKUP(G21,BDI!$D$19:$J$30,12,)</f>
        <v>0.2354</v>
      </c>
      <c r="I21" s="223" t="n">
        <v>2005</v>
      </c>
      <c r="J21" s="223" t="n">
        <v>1554.31</v>
      </c>
      <c r="K21" s="223" t="n">
        <v>450.69</v>
      </c>
      <c r="L21" s="223" t="n">
        <v>0</v>
      </c>
      <c r="M21" s="223" t="s">
        <v>267</v>
      </c>
      <c r="N21" s="223" t="s">
        <v>267</v>
      </c>
    </row>
    <row r="22" customFormat="false" ht="18" hidden="false" customHeight="true" outlineLevel="0" collapsed="false">
      <c r="B22" s="220" t="s">
        <v>22</v>
      </c>
      <c r="C22" s="220" t="s">
        <v>22</v>
      </c>
      <c r="D22" s="62" t="s">
        <v>143</v>
      </c>
      <c r="E22" s="221" t="s">
        <v>283</v>
      </c>
      <c r="F22" s="64" t="n">
        <f aca="false">74*2/60</f>
        <v>2.46666666666667</v>
      </c>
      <c r="G22" s="222" t="n">
        <v>0.02</v>
      </c>
      <c r="H22" s="222" t="n">
        <f aca="false">HLOOKUP(G22,BDI!$D$19:$J$30,12,)</f>
        <v>0.2223</v>
      </c>
      <c r="I22" s="223" t="n">
        <v>785.22</v>
      </c>
      <c r="J22" s="223" t="n">
        <v>551.75</v>
      </c>
      <c r="K22" s="223" t="n">
        <v>233.47</v>
      </c>
      <c r="L22" s="223" t="n">
        <v>0</v>
      </c>
      <c r="M22" s="223" t="s">
        <v>265</v>
      </c>
      <c r="N22" s="223" t="s">
        <v>265</v>
      </c>
    </row>
    <row r="23" customFormat="false" ht="18" hidden="false" customHeight="true" outlineLevel="0" collapsed="false">
      <c r="B23" s="220" t="s">
        <v>22</v>
      </c>
      <c r="C23" s="220" t="s">
        <v>22</v>
      </c>
      <c r="D23" s="62" t="s">
        <v>144</v>
      </c>
      <c r="E23" s="221" t="s">
        <v>284</v>
      </c>
      <c r="F23" s="64" t="n">
        <f aca="false">69*2/60</f>
        <v>2.3</v>
      </c>
      <c r="G23" s="222" t="n">
        <v>0.03</v>
      </c>
      <c r="H23" s="222" t="n">
        <f aca="false">HLOOKUP(G23,BDI!$D$19:$J$30,12,)</f>
        <v>0.2354</v>
      </c>
      <c r="I23" s="223" t="n">
        <v>525</v>
      </c>
      <c r="J23" s="223" t="n">
        <v>423.47</v>
      </c>
      <c r="K23" s="223" t="n">
        <v>101.53</v>
      </c>
      <c r="L23" s="223" t="n">
        <v>0</v>
      </c>
      <c r="M23" s="223" t="s">
        <v>265</v>
      </c>
      <c r="N23" s="223" t="s">
        <v>265</v>
      </c>
    </row>
    <row r="24" customFormat="false" ht="18" hidden="false" customHeight="true" outlineLevel="0" collapsed="false">
      <c r="B24" s="220" t="s">
        <v>22</v>
      </c>
      <c r="C24" s="220" t="s">
        <v>22</v>
      </c>
      <c r="D24" s="62" t="s">
        <v>145</v>
      </c>
      <c r="E24" s="221" t="s">
        <v>285</v>
      </c>
      <c r="F24" s="64" t="n">
        <f aca="false">77*2/60</f>
        <v>2.56666666666667</v>
      </c>
      <c r="G24" s="222" t="n">
        <v>0.03</v>
      </c>
      <c r="H24" s="222" t="n">
        <f aca="false">HLOOKUP(G24,BDI!$D$19:$J$30,12,)</f>
        <v>0.2354</v>
      </c>
      <c r="I24" s="223" t="n">
        <v>334.4</v>
      </c>
      <c r="J24" s="223" t="n">
        <v>296</v>
      </c>
      <c r="K24" s="223" t="n">
        <v>38.4</v>
      </c>
      <c r="L24" s="223" t="n">
        <v>0</v>
      </c>
      <c r="M24" s="223" t="s">
        <v>265</v>
      </c>
      <c r="N24" s="223" t="s">
        <v>265</v>
      </c>
    </row>
    <row r="25" customFormat="false" ht="18" hidden="false" customHeight="true" outlineLevel="0" collapsed="false">
      <c r="B25" s="220" t="s">
        <v>22</v>
      </c>
      <c r="C25" s="220" t="s">
        <v>22</v>
      </c>
      <c r="D25" s="62" t="s">
        <v>146</v>
      </c>
      <c r="E25" s="221" t="s">
        <v>286</v>
      </c>
      <c r="F25" s="64" t="n">
        <f aca="false">244/60</f>
        <v>4.06666666666667</v>
      </c>
      <c r="G25" s="222" t="n">
        <v>0.04</v>
      </c>
      <c r="H25" s="222" t="n">
        <f aca="false">HLOOKUP(G25,BDI!$D$19:$J$30,12,)</f>
        <v>0.2487</v>
      </c>
      <c r="I25" s="223" t="n">
        <v>567.94</v>
      </c>
      <c r="J25" s="223" t="n">
        <v>450.82</v>
      </c>
      <c r="K25" s="223" t="n">
        <v>117.12</v>
      </c>
      <c r="L25" s="223" t="n">
        <v>0</v>
      </c>
      <c r="M25" s="223" t="s">
        <v>265</v>
      </c>
      <c r="N25" s="223" t="s">
        <v>265</v>
      </c>
    </row>
    <row r="26" customFormat="false" ht="18" hidden="false" customHeight="true" outlineLevel="0" collapsed="false">
      <c r="B26" s="220" t="s">
        <v>22</v>
      </c>
      <c r="C26" s="220" t="s">
        <v>22</v>
      </c>
      <c r="D26" s="62" t="s">
        <v>147</v>
      </c>
      <c r="E26" s="221" t="s">
        <v>287</v>
      </c>
      <c r="F26" s="64" t="n">
        <f aca="false">73*2/60</f>
        <v>2.43333333333333</v>
      </c>
      <c r="G26" s="222" t="n">
        <v>0.03</v>
      </c>
      <c r="H26" s="222" t="n">
        <f aca="false">HLOOKUP(G26,BDI!$D$19:$J$30,12,)</f>
        <v>0.2354</v>
      </c>
      <c r="I26" s="223" t="n">
        <v>1340</v>
      </c>
      <c r="J26" s="223" t="n">
        <v>695.46</v>
      </c>
      <c r="K26" s="223" t="n">
        <v>389.89</v>
      </c>
      <c r="L26" s="223" t="n">
        <v>254.65</v>
      </c>
      <c r="M26" s="223" t="s">
        <v>265</v>
      </c>
      <c r="N26" s="223" t="s">
        <v>265</v>
      </c>
    </row>
    <row r="27" customFormat="false" ht="18" hidden="false" customHeight="true" outlineLevel="0" collapsed="false">
      <c r="B27" s="220" t="s">
        <v>22</v>
      </c>
      <c r="C27" s="220" t="s">
        <v>22</v>
      </c>
      <c r="D27" s="62" t="s">
        <v>148</v>
      </c>
      <c r="E27" s="224" t="s">
        <v>288</v>
      </c>
      <c r="F27" s="64" t="n">
        <f aca="false">89*2/60</f>
        <v>2.96666666666667</v>
      </c>
      <c r="G27" s="222" t="n">
        <v>0.03</v>
      </c>
      <c r="H27" s="222" t="n">
        <f aca="false">HLOOKUP(G27,BDI!$D$19:$J$30,12,)</f>
        <v>0.2354</v>
      </c>
      <c r="I27" s="223" t="n">
        <v>334.4</v>
      </c>
      <c r="J27" s="223" t="n">
        <v>296</v>
      </c>
      <c r="K27" s="223" t="n">
        <v>38.4</v>
      </c>
      <c r="L27" s="223" t="n">
        <v>0</v>
      </c>
      <c r="M27" s="223" t="s">
        <v>265</v>
      </c>
      <c r="N27" s="223" t="s">
        <v>265</v>
      </c>
    </row>
    <row r="28" customFormat="false" ht="18" hidden="false" customHeight="true" outlineLevel="0" collapsed="false">
      <c r="B28" s="220" t="s">
        <v>22</v>
      </c>
      <c r="C28" s="220" t="s">
        <v>22</v>
      </c>
      <c r="D28" s="62" t="s">
        <v>149</v>
      </c>
      <c r="E28" s="221" t="s">
        <v>289</v>
      </c>
      <c r="F28" s="64" t="n">
        <f aca="false">235/60</f>
        <v>3.91666666666667</v>
      </c>
      <c r="G28" s="222" t="n">
        <v>0.04</v>
      </c>
      <c r="H28" s="222" t="n">
        <f aca="false">HLOOKUP(G28,BDI!$D$19:$J$30,12,)</f>
        <v>0.2487</v>
      </c>
      <c r="I28" s="223" t="n">
        <v>3100</v>
      </c>
      <c r="J28" s="223" t="n">
        <v>2069.99</v>
      </c>
      <c r="K28" s="223" t="n">
        <v>964.36</v>
      </c>
      <c r="L28" s="223" t="n">
        <v>65.65</v>
      </c>
      <c r="M28" s="223" t="s">
        <v>267</v>
      </c>
      <c r="N28" s="223" t="s">
        <v>267</v>
      </c>
    </row>
    <row r="29" customFormat="false" ht="18" hidden="false" customHeight="true" outlineLevel="0" collapsed="false">
      <c r="B29" s="220" t="s">
        <v>22</v>
      </c>
      <c r="C29" s="220" t="s">
        <v>22</v>
      </c>
      <c r="D29" s="62" t="s">
        <v>150</v>
      </c>
      <c r="E29" s="221" t="s">
        <v>290</v>
      </c>
      <c r="F29" s="64" t="n">
        <f aca="false">211/60</f>
        <v>3.51666666666667</v>
      </c>
      <c r="G29" s="222" t="n">
        <v>0.02</v>
      </c>
      <c r="H29" s="222" t="n">
        <f aca="false">HLOOKUP(G29,BDI!$D$19:$J$30,12,)</f>
        <v>0.2223</v>
      </c>
      <c r="I29" s="223" t="n">
        <v>334.4</v>
      </c>
      <c r="J29" s="223" t="n">
        <v>296</v>
      </c>
      <c r="K29" s="223" t="n">
        <v>38.4</v>
      </c>
      <c r="L29" s="223" t="n">
        <v>0</v>
      </c>
      <c r="M29" s="223" t="s">
        <v>265</v>
      </c>
      <c r="N29" s="223" t="s">
        <v>265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I27" activeCellId="0" sqref="I27"/>
    </sheetView>
  </sheetViews>
  <sheetFormatPr defaultColWidth="10.25781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225" width="15.62"/>
    <col collapsed="false" customWidth="true" hidden="false" outlineLevel="0" max="3" min="3" style="225" width="35.88"/>
    <col collapsed="false" customWidth="true" hidden="false" outlineLevel="0" max="4" min="4" style="50" width="11"/>
    <col collapsed="false" customWidth="true" hidden="false" outlineLevel="0" max="1024" min="1024" style="0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26" t="s">
        <v>291</v>
      </c>
      <c r="C2" s="226"/>
      <c r="D2" s="226"/>
      <c r="E2" s="226"/>
      <c r="F2" s="226"/>
      <c r="G2" s="226"/>
      <c r="H2" s="226"/>
      <c r="I2" s="226"/>
      <c r="J2" s="226"/>
    </row>
    <row r="3" customFormat="false" ht="19.5" hidden="false" customHeight="true" outlineLevel="0" collapsed="false">
      <c r="B3" s="227" t="str">
        <f aca="false">'Valor da Contratação'!B8</f>
        <v>NÃO DESONERADA</v>
      </c>
      <c r="C3" s="227"/>
      <c r="D3" s="227"/>
      <c r="E3" s="227"/>
      <c r="F3" s="227"/>
      <c r="G3" s="227"/>
      <c r="H3" s="227"/>
      <c r="I3" s="227"/>
      <c r="J3" s="227"/>
    </row>
    <row r="4" customFormat="false" ht="15" hidden="false" customHeight="true" outlineLevel="0" collapsed="false">
      <c r="B4" s="228"/>
      <c r="C4" s="228"/>
      <c r="D4" s="21"/>
    </row>
    <row r="5" customFormat="false" ht="15" hidden="false" customHeight="true" outlineLevel="0" collapsed="false">
      <c r="B5" s="229" t="s">
        <v>292</v>
      </c>
      <c r="C5" s="229"/>
      <c r="D5" s="229"/>
      <c r="E5" s="229"/>
      <c r="F5" s="229"/>
      <c r="G5" s="229"/>
      <c r="H5" s="229"/>
      <c r="I5" s="229"/>
      <c r="J5" s="229"/>
    </row>
    <row r="6" customFormat="false" ht="15" hidden="false" customHeight="true" outlineLevel="0" collapsed="false">
      <c r="B6" s="230"/>
      <c r="C6" s="1"/>
      <c r="D6" s="118"/>
      <c r="E6" s="118"/>
      <c r="J6" s="231"/>
    </row>
    <row r="7" customFormat="false" ht="15" hidden="false" customHeight="true" outlineLevel="0" collapsed="false">
      <c r="B7" s="232" t="s">
        <v>293</v>
      </c>
      <c r="C7" s="232"/>
      <c r="D7" s="232"/>
      <c r="E7" s="232"/>
      <c r="F7" s="232"/>
      <c r="G7" s="232"/>
      <c r="H7" s="232"/>
      <c r="I7" s="232"/>
      <c r="J7" s="232"/>
    </row>
    <row r="8" customFormat="false" ht="15" hidden="false" customHeight="true" outlineLevel="0" collapsed="false">
      <c r="B8" s="233"/>
      <c r="C8" s="234"/>
      <c r="D8" s="118"/>
      <c r="E8" s="118"/>
      <c r="J8" s="231"/>
    </row>
    <row r="9" customFormat="false" ht="15" hidden="false" customHeight="true" outlineLevel="0" collapsed="false">
      <c r="B9" s="235" t="s">
        <v>294</v>
      </c>
      <c r="C9" s="235"/>
      <c r="D9" s="235"/>
      <c r="E9" s="235"/>
      <c r="F9" s="235"/>
      <c r="G9" s="235"/>
      <c r="H9" s="235"/>
      <c r="I9" s="235"/>
      <c r="J9" s="235"/>
    </row>
    <row r="10" customFormat="false" ht="15" hidden="false" customHeight="true" outlineLevel="0" collapsed="false">
      <c r="B10" s="236" t="s">
        <v>295</v>
      </c>
      <c r="C10" s="236"/>
      <c r="D10" s="236"/>
      <c r="E10" s="236"/>
      <c r="F10" s="236"/>
      <c r="G10" s="236"/>
      <c r="H10" s="236"/>
      <c r="I10" s="236"/>
      <c r="J10" s="236"/>
    </row>
    <row r="11" customFormat="false" ht="15" hidden="false" customHeight="true" outlineLevel="0" collapsed="false">
      <c r="B11" s="236" t="s">
        <v>296</v>
      </c>
      <c r="C11" s="236"/>
      <c r="D11" s="236"/>
      <c r="E11" s="236"/>
      <c r="F11" s="236"/>
      <c r="G11" s="236"/>
      <c r="H11" s="236"/>
      <c r="I11" s="236"/>
      <c r="J11" s="236"/>
    </row>
    <row r="12" customFormat="false" ht="15" hidden="false" customHeight="true" outlineLevel="0" collapsed="false">
      <c r="B12" s="236" t="s">
        <v>297</v>
      </c>
      <c r="C12" s="236"/>
      <c r="D12" s="236"/>
      <c r="E12" s="236"/>
      <c r="F12" s="236"/>
      <c r="G12" s="236"/>
      <c r="H12" s="236"/>
      <c r="I12" s="236"/>
      <c r="J12" s="236"/>
    </row>
    <row r="13" customFormat="false" ht="15" hidden="false" customHeight="true" outlineLevel="0" collapsed="false">
      <c r="B13" s="236" t="s">
        <v>298</v>
      </c>
      <c r="C13" s="236"/>
      <c r="D13" s="236"/>
      <c r="E13" s="236"/>
      <c r="F13" s="236"/>
      <c r="G13" s="236"/>
      <c r="H13" s="236"/>
      <c r="I13" s="236"/>
      <c r="J13" s="236"/>
    </row>
    <row r="14" customFormat="false" ht="15" hidden="false" customHeight="true" outlineLevel="0" collapsed="false">
      <c r="B14" s="236" t="s">
        <v>299</v>
      </c>
      <c r="C14" s="236"/>
      <c r="D14" s="236"/>
      <c r="E14" s="236"/>
      <c r="F14" s="236"/>
      <c r="G14" s="236"/>
      <c r="H14" s="236"/>
      <c r="I14" s="236"/>
      <c r="J14" s="236"/>
    </row>
    <row r="15" customFormat="false" ht="15" hidden="false" customHeight="true" outlineLevel="0" collapsed="false">
      <c r="B15" s="236" t="s">
        <v>300</v>
      </c>
      <c r="C15" s="236"/>
      <c r="D15" s="236"/>
      <c r="E15" s="236"/>
      <c r="F15" s="236"/>
      <c r="G15" s="236"/>
      <c r="H15" s="236"/>
      <c r="I15" s="236"/>
      <c r="J15" s="236"/>
    </row>
    <row r="16" customFormat="false" ht="15" hidden="false" customHeight="true" outlineLevel="0" collapsed="false">
      <c r="B16" s="237" t="s">
        <v>301</v>
      </c>
      <c r="C16" s="237"/>
      <c r="D16" s="237"/>
      <c r="E16" s="237"/>
      <c r="F16" s="237"/>
      <c r="G16" s="237"/>
      <c r="H16" s="237"/>
      <c r="I16" s="237"/>
      <c r="J16" s="237"/>
    </row>
    <row r="17" customFormat="false" ht="24.75" hidden="false" customHeight="true" outlineLevel="0" collapsed="false">
      <c r="D17" s="21"/>
    </row>
    <row r="18" customFormat="false" ht="16.5" hidden="false" customHeight="true" outlineLevel="0" collapsed="false">
      <c r="B18" s="30" t="s">
        <v>302</v>
      </c>
      <c r="C18" s="30"/>
      <c r="D18" s="238" t="s">
        <v>257</v>
      </c>
      <c r="E18" s="238" t="s">
        <v>257</v>
      </c>
      <c r="F18" s="238" t="s">
        <v>257</v>
      </c>
      <c r="G18" s="239" t="s">
        <v>257</v>
      </c>
      <c r="H18" s="240" t="s">
        <v>257</v>
      </c>
      <c r="I18" s="240" t="s">
        <v>257</v>
      </c>
      <c r="J18" s="240" t="s">
        <v>257</v>
      </c>
    </row>
    <row r="19" customFormat="false" ht="16.5" hidden="false" customHeight="true" outlineLevel="0" collapsed="false">
      <c r="B19" s="30"/>
      <c r="C19" s="30"/>
      <c r="D19" s="241" t="n">
        <v>0.05</v>
      </c>
      <c r="E19" s="241" t="n">
        <v>0.04</v>
      </c>
      <c r="F19" s="241" t="n">
        <v>0.035</v>
      </c>
      <c r="G19" s="242" t="n">
        <v>0.03</v>
      </c>
      <c r="H19" s="243" t="n">
        <v>0.025</v>
      </c>
      <c r="I19" s="243" t="n">
        <v>0.02</v>
      </c>
      <c r="J19" s="243" t="n">
        <v>0.015</v>
      </c>
    </row>
    <row r="20" customFormat="false" ht="16.5" hidden="false" customHeight="true" outlineLevel="0" collapsed="false">
      <c r="B20" s="244" t="s">
        <v>303</v>
      </c>
      <c r="C20" s="245" t="s">
        <v>304</v>
      </c>
      <c r="D20" s="246" t="n">
        <v>0.04</v>
      </c>
      <c r="E20" s="246" t="n">
        <v>0.04</v>
      </c>
      <c r="F20" s="246" t="n">
        <v>0.04</v>
      </c>
      <c r="G20" s="246" t="n">
        <v>0.04</v>
      </c>
      <c r="H20" s="246" t="n">
        <v>0.04</v>
      </c>
      <c r="I20" s="246" t="n">
        <v>0.04</v>
      </c>
      <c r="J20" s="246" t="n">
        <v>0.04</v>
      </c>
    </row>
    <row r="21" customFormat="false" ht="16.5" hidden="false" customHeight="true" outlineLevel="0" collapsed="false">
      <c r="B21" s="244" t="s">
        <v>305</v>
      </c>
      <c r="C21" s="220" t="s">
        <v>306</v>
      </c>
      <c r="D21" s="247" t="n">
        <v>0.0123</v>
      </c>
      <c r="E21" s="247" t="n">
        <v>0.0123</v>
      </c>
      <c r="F21" s="247" t="n">
        <v>0.0123</v>
      </c>
      <c r="G21" s="247" t="n">
        <v>0.0123</v>
      </c>
      <c r="H21" s="247" t="n">
        <v>0.0123</v>
      </c>
      <c r="I21" s="247" t="n">
        <v>0.0123</v>
      </c>
      <c r="J21" s="247" t="n">
        <v>0.0123</v>
      </c>
    </row>
    <row r="22" customFormat="false" ht="16.5" hidden="false" customHeight="true" outlineLevel="0" collapsed="false">
      <c r="B22" s="244" t="s">
        <v>307</v>
      </c>
      <c r="C22" s="220" t="s">
        <v>308</v>
      </c>
      <c r="D22" s="247" t="n">
        <v>0.008</v>
      </c>
      <c r="E22" s="247" t="n">
        <v>0.008</v>
      </c>
      <c r="F22" s="247" t="n">
        <v>0.008</v>
      </c>
      <c r="G22" s="247" t="n">
        <v>0.008</v>
      </c>
      <c r="H22" s="247" t="n">
        <v>0.008</v>
      </c>
      <c r="I22" s="247" t="n">
        <v>0.008</v>
      </c>
      <c r="J22" s="247" t="n">
        <v>0.008</v>
      </c>
    </row>
    <row r="23" customFormat="false" ht="16.5" hidden="false" customHeight="true" outlineLevel="0" collapsed="false">
      <c r="B23" s="244" t="s">
        <v>309</v>
      </c>
      <c r="C23" s="220" t="s">
        <v>310</v>
      </c>
      <c r="D23" s="247" t="n">
        <v>0.0127</v>
      </c>
      <c r="E23" s="247" t="n">
        <v>0.0127</v>
      </c>
      <c r="F23" s="247" t="n">
        <v>0.0127</v>
      </c>
      <c r="G23" s="247" t="n">
        <v>0.0127</v>
      </c>
      <c r="H23" s="247" t="n">
        <v>0.0127</v>
      </c>
      <c r="I23" s="247" t="n">
        <v>0.0127</v>
      </c>
      <c r="J23" s="247" t="n">
        <v>0.0127</v>
      </c>
    </row>
    <row r="24" customFormat="false" ht="16.5" hidden="false" customHeight="true" outlineLevel="0" collapsed="false">
      <c r="B24" s="244" t="s">
        <v>311</v>
      </c>
      <c r="C24" s="220" t="s">
        <v>312</v>
      </c>
      <c r="D24" s="247" t="n">
        <v>0.074</v>
      </c>
      <c r="E24" s="247" t="n">
        <v>0.074</v>
      </c>
      <c r="F24" s="247" t="n">
        <v>0.074</v>
      </c>
      <c r="G24" s="247" t="n">
        <v>0.074</v>
      </c>
      <c r="H24" s="247" t="n">
        <v>0.074</v>
      </c>
      <c r="I24" s="247" t="n">
        <v>0.074</v>
      </c>
      <c r="J24" s="247" t="n">
        <v>0.074</v>
      </c>
    </row>
    <row r="25" customFormat="false" ht="16.5" hidden="false" customHeight="true" outlineLevel="0" collapsed="false">
      <c r="B25" s="244" t="s">
        <v>202</v>
      </c>
      <c r="C25" s="220" t="s">
        <v>313</v>
      </c>
      <c r="D25" s="247" t="n">
        <v>0.0065</v>
      </c>
      <c r="E25" s="247" t="n">
        <v>0.0065</v>
      </c>
      <c r="F25" s="247" t="n">
        <v>0.0065</v>
      </c>
      <c r="G25" s="247" t="n">
        <v>0.0065</v>
      </c>
      <c r="H25" s="247" t="n">
        <v>0.0065</v>
      </c>
      <c r="I25" s="247" t="n">
        <v>0.0065</v>
      </c>
      <c r="J25" s="247" t="n">
        <v>0.0065</v>
      </c>
    </row>
    <row r="26" customFormat="false" ht="16.5" hidden="false" customHeight="true" outlineLevel="0" collapsed="false">
      <c r="B26" s="244"/>
      <c r="C26" s="244" t="s">
        <v>314</v>
      </c>
      <c r="D26" s="248" t="n">
        <v>0.03</v>
      </c>
      <c r="E26" s="248" t="n">
        <v>0.03</v>
      </c>
      <c r="F26" s="248" t="n">
        <v>0.03</v>
      </c>
      <c r="G26" s="248" t="n">
        <v>0.03</v>
      </c>
      <c r="H26" s="248" t="n">
        <v>0.03</v>
      </c>
      <c r="I26" s="248" t="n">
        <v>0.03</v>
      </c>
      <c r="J26" s="248" t="n">
        <v>0.03</v>
      </c>
    </row>
    <row r="27" customFormat="false" ht="16.5" hidden="false" customHeight="true" outlineLevel="0" collapsed="false">
      <c r="B27" s="244"/>
      <c r="C27" s="244" t="s">
        <v>257</v>
      </c>
      <c r="D27" s="248" t="n">
        <v>0.05</v>
      </c>
      <c r="E27" s="248" t="n">
        <v>0.04</v>
      </c>
      <c r="F27" s="247" t="n">
        <v>0.035</v>
      </c>
      <c r="G27" s="248" t="n">
        <v>0.03</v>
      </c>
      <c r="H27" s="248" t="n">
        <v>0.025</v>
      </c>
      <c r="I27" s="248" t="n">
        <v>0.02</v>
      </c>
      <c r="J27" s="247" t="n">
        <v>0.015</v>
      </c>
    </row>
    <row r="28" customFormat="false" ht="16.5" hidden="false" customHeight="true" outlineLevel="0" collapsed="false">
      <c r="B28" s="244"/>
      <c r="C28" s="244" t="s">
        <v>315</v>
      </c>
      <c r="D28" s="248" t="n">
        <v>0</v>
      </c>
      <c r="E28" s="248" t="n">
        <v>0</v>
      </c>
      <c r="F28" s="247" t="n">
        <v>0</v>
      </c>
      <c r="G28" s="248" t="n">
        <v>0</v>
      </c>
      <c r="H28" s="248" t="n">
        <v>0</v>
      </c>
      <c r="I28" s="248" t="n">
        <v>0</v>
      </c>
      <c r="J28" s="247" t="n">
        <v>0</v>
      </c>
    </row>
    <row r="29" customFormat="false" ht="19.5" hidden="false" customHeight="true" outlineLevel="0" collapsed="false">
      <c r="B29" s="116" t="s">
        <v>316</v>
      </c>
      <c r="C29" s="116"/>
      <c r="D29" s="249" t="n">
        <f aca="false">(((1+D22+D20+D23)*(1+D21)*(1+D24))/(1-(D25+D26+D27+D28))-1)</f>
        <v>0.262401597307061</v>
      </c>
      <c r="E29" s="249" t="n">
        <f aca="false">(((1+E22+E20+E23)*(1+E21)*(1+E24))/(1-(E25+E26+E27+E28))-1)</f>
        <v>0.248731845305902</v>
      </c>
      <c r="F29" s="249" t="n">
        <f aca="false">(((1+F22+F20+F23)*(1+F21)*(1+F24))/(1-(F25+F26+F27+F28))-1)</f>
        <v>0.24200738733441</v>
      </c>
      <c r="G29" s="249" t="n">
        <f aca="false">(((1+G22+G20+G23)*(1+G21)*(1+G24))/(1-(G25+G26+G27+G28))-1)</f>
        <v>0.235354964263524</v>
      </c>
      <c r="H29" s="249" t="n">
        <f aca="false">(((1+H22+H20+H23)*(1+H21)*(1+H24))/(1-(H25+H26+H27+H28))-1)</f>
        <v>0.22877342476292</v>
      </c>
      <c r="I29" s="249" t="n">
        <f aca="false">(((1+I22+I20+I23)*(1+I21)*(1+I24))/(1-(I25+I26+I27+I28))-1)</f>
        <v>0.22226164190779</v>
      </c>
      <c r="J29" s="249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50" t="s">
        <v>317</v>
      </c>
      <c r="C30" s="250"/>
      <c r="D30" s="251" t="n">
        <f aca="false">ROUND(D29,4)</f>
        <v>0.2624</v>
      </c>
      <c r="E30" s="251" t="n">
        <f aca="false">ROUND(E29,4)</f>
        <v>0.2487</v>
      </c>
      <c r="F30" s="251" t="n">
        <f aca="false">ROUND(F29,4)</f>
        <v>0.242</v>
      </c>
      <c r="G30" s="251" t="n">
        <f aca="false">ROUND(G29,4)</f>
        <v>0.2354</v>
      </c>
      <c r="H30" s="251" t="n">
        <f aca="false">ROUND(H29,4)</f>
        <v>0.2288</v>
      </c>
      <c r="I30" s="251" t="n">
        <f aca="false">ROUND(I29,4)</f>
        <v>0.2223</v>
      </c>
      <c r="J30" s="251" t="n">
        <f aca="false">ROUND(J29,4)</f>
        <v>0.2158</v>
      </c>
    </row>
    <row r="31" customFormat="false" ht="24.75" hidden="false" customHeight="true" outlineLevel="0" collapsed="false">
      <c r="B31" s="252"/>
      <c r="C31" s="252"/>
      <c r="D31" s="83"/>
      <c r="E31" s="83"/>
      <c r="F31" s="83"/>
      <c r="G31" s="83"/>
      <c r="H31" s="83"/>
      <c r="I31" s="83"/>
      <c r="J31" s="83"/>
    </row>
    <row r="32" customFormat="false" ht="16.5" hidden="false" customHeight="true" outlineLevel="0" collapsed="false">
      <c r="B32" s="30" t="s">
        <v>318</v>
      </c>
      <c r="C32" s="30"/>
      <c r="D32" s="238" t="s">
        <v>257</v>
      </c>
      <c r="E32" s="238" t="s">
        <v>257</v>
      </c>
      <c r="F32" s="238" t="s">
        <v>257</v>
      </c>
      <c r="G32" s="239" t="s">
        <v>257</v>
      </c>
      <c r="H32" s="240" t="s">
        <v>257</v>
      </c>
      <c r="I32" s="240" t="s">
        <v>257</v>
      </c>
      <c r="J32" s="240" t="s">
        <v>257</v>
      </c>
    </row>
    <row r="33" customFormat="false" ht="16.5" hidden="false" customHeight="true" outlineLevel="0" collapsed="false">
      <c r="B33" s="30"/>
      <c r="C33" s="30"/>
      <c r="D33" s="241" t="n">
        <v>0.05</v>
      </c>
      <c r="E33" s="241" t="n">
        <v>0.04</v>
      </c>
      <c r="F33" s="241" t="n">
        <v>0.035</v>
      </c>
      <c r="G33" s="242" t="n">
        <v>0.03</v>
      </c>
      <c r="H33" s="243" t="n">
        <v>0.025</v>
      </c>
      <c r="I33" s="243" t="n">
        <v>0.02</v>
      </c>
      <c r="J33" s="243" t="n">
        <v>0.015</v>
      </c>
    </row>
    <row r="34" customFormat="false" ht="16.5" hidden="false" customHeight="true" outlineLevel="0" collapsed="false">
      <c r="B34" s="244" t="s">
        <v>303</v>
      </c>
      <c r="C34" s="245" t="s">
        <v>304</v>
      </c>
      <c r="D34" s="247" t="n">
        <v>0.0345</v>
      </c>
      <c r="E34" s="247" t="n">
        <v>0.0345</v>
      </c>
      <c r="F34" s="247" t="n">
        <v>0.0345</v>
      </c>
      <c r="G34" s="247" t="n">
        <v>0.0345</v>
      </c>
      <c r="H34" s="247" t="n">
        <v>0.0345</v>
      </c>
      <c r="I34" s="247" t="n">
        <v>0.0345</v>
      </c>
      <c r="J34" s="247" t="n">
        <v>0.0345</v>
      </c>
    </row>
    <row r="35" customFormat="false" ht="16.5" hidden="false" customHeight="true" outlineLevel="0" collapsed="false">
      <c r="B35" s="244" t="s">
        <v>305</v>
      </c>
      <c r="C35" s="220" t="s">
        <v>306</v>
      </c>
      <c r="D35" s="247" t="n">
        <v>0.0085</v>
      </c>
      <c r="E35" s="247" t="n">
        <v>0.0085</v>
      </c>
      <c r="F35" s="247" t="n">
        <v>0.0085</v>
      </c>
      <c r="G35" s="247" t="n">
        <v>0.0085</v>
      </c>
      <c r="H35" s="247" t="n">
        <v>0.0085</v>
      </c>
      <c r="I35" s="247" t="n">
        <v>0.0085</v>
      </c>
      <c r="J35" s="247" t="n">
        <v>0.0085</v>
      </c>
    </row>
    <row r="36" customFormat="false" ht="16.5" hidden="false" customHeight="true" outlineLevel="0" collapsed="false">
      <c r="B36" s="244" t="s">
        <v>307</v>
      </c>
      <c r="C36" s="220" t="s">
        <v>308</v>
      </c>
      <c r="D36" s="247" t="n">
        <v>0.0048</v>
      </c>
      <c r="E36" s="247" t="n">
        <v>0.0048</v>
      </c>
      <c r="F36" s="247" t="n">
        <v>0.0048</v>
      </c>
      <c r="G36" s="247" t="n">
        <v>0.0048</v>
      </c>
      <c r="H36" s="247" t="n">
        <v>0.0048</v>
      </c>
      <c r="I36" s="247" t="n">
        <v>0.0048</v>
      </c>
      <c r="J36" s="247" t="n">
        <v>0.0048</v>
      </c>
    </row>
    <row r="37" customFormat="false" ht="16.5" hidden="false" customHeight="true" outlineLevel="0" collapsed="false">
      <c r="B37" s="244" t="s">
        <v>309</v>
      </c>
      <c r="C37" s="220" t="s">
        <v>310</v>
      </c>
      <c r="D37" s="247" t="n">
        <v>0.0085</v>
      </c>
      <c r="E37" s="247" t="n">
        <v>0.0085</v>
      </c>
      <c r="F37" s="247" t="n">
        <v>0.0085</v>
      </c>
      <c r="G37" s="247" t="n">
        <v>0.0085</v>
      </c>
      <c r="H37" s="247" t="n">
        <v>0.0085</v>
      </c>
      <c r="I37" s="247" t="n">
        <v>0.0085</v>
      </c>
      <c r="J37" s="247" t="n">
        <v>0.0085</v>
      </c>
    </row>
    <row r="38" customFormat="false" ht="16.5" hidden="false" customHeight="true" outlineLevel="0" collapsed="false">
      <c r="B38" s="244" t="s">
        <v>311</v>
      </c>
      <c r="C38" s="220" t="s">
        <v>312</v>
      </c>
      <c r="D38" s="247" t="n">
        <v>0.0511</v>
      </c>
      <c r="E38" s="247" t="n">
        <v>0.0511</v>
      </c>
      <c r="F38" s="247" t="n">
        <v>0.0511</v>
      </c>
      <c r="G38" s="247" t="n">
        <v>0.0511</v>
      </c>
      <c r="H38" s="247" t="n">
        <v>0.0511</v>
      </c>
      <c r="I38" s="247" t="n">
        <v>0.0511</v>
      </c>
      <c r="J38" s="247" t="n">
        <v>0.0511</v>
      </c>
    </row>
    <row r="39" customFormat="false" ht="16.5" hidden="false" customHeight="true" outlineLevel="0" collapsed="false">
      <c r="B39" s="244" t="s">
        <v>202</v>
      </c>
      <c r="C39" s="220" t="s">
        <v>313</v>
      </c>
      <c r="D39" s="247" t="n">
        <v>0.0065</v>
      </c>
      <c r="E39" s="247" t="n">
        <v>0.0065</v>
      </c>
      <c r="F39" s="247" t="n">
        <v>0.0065</v>
      </c>
      <c r="G39" s="247" t="n">
        <v>0.0065</v>
      </c>
      <c r="H39" s="247" t="n">
        <v>0.0065</v>
      </c>
      <c r="I39" s="247" t="n">
        <v>0.0065</v>
      </c>
      <c r="J39" s="247" t="n">
        <v>0.0065</v>
      </c>
    </row>
    <row r="40" customFormat="false" ht="16.5" hidden="false" customHeight="true" outlineLevel="0" collapsed="false">
      <c r="B40" s="244"/>
      <c r="C40" s="244" t="s">
        <v>314</v>
      </c>
      <c r="D40" s="248" t="n">
        <v>0.03</v>
      </c>
      <c r="E40" s="248" t="n">
        <v>0.03</v>
      </c>
      <c r="F40" s="248" t="n">
        <v>0.03</v>
      </c>
      <c r="G40" s="248" t="n">
        <v>0.03</v>
      </c>
      <c r="H40" s="248" t="n">
        <v>0.03</v>
      </c>
      <c r="I40" s="248" t="n">
        <v>0.03</v>
      </c>
      <c r="J40" s="248" t="n">
        <v>0.03</v>
      </c>
    </row>
    <row r="41" customFormat="false" ht="16.5" hidden="false" customHeight="true" outlineLevel="0" collapsed="false">
      <c r="B41" s="244"/>
      <c r="C41" s="244" t="s">
        <v>257</v>
      </c>
      <c r="D41" s="248" t="n">
        <v>0</v>
      </c>
      <c r="E41" s="248" t="n">
        <v>0</v>
      </c>
      <c r="F41" s="247" t="n">
        <v>0</v>
      </c>
      <c r="G41" s="248" t="n">
        <v>0</v>
      </c>
      <c r="H41" s="248" t="n">
        <v>0</v>
      </c>
      <c r="I41" s="248" t="n">
        <v>0</v>
      </c>
      <c r="J41" s="247" t="n">
        <v>0</v>
      </c>
    </row>
    <row r="42" customFormat="false" ht="16.5" hidden="false" customHeight="true" outlineLevel="0" collapsed="false">
      <c r="B42" s="244"/>
      <c r="C42" s="244" t="s">
        <v>315</v>
      </c>
      <c r="D42" s="248" t="n">
        <v>0</v>
      </c>
      <c r="E42" s="248" t="n">
        <v>0</v>
      </c>
      <c r="F42" s="247" t="n">
        <v>0</v>
      </c>
      <c r="G42" s="248" t="n">
        <v>0</v>
      </c>
      <c r="H42" s="248" t="n">
        <v>0</v>
      </c>
      <c r="I42" s="248" t="n">
        <v>0</v>
      </c>
      <c r="J42" s="247" t="n">
        <v>0</v>
      </c>
    </row>
    <row r="43" customFormat="false" ht="16.5" hidden="false" customHeight="true" outlineLevel="0" collapsed="false">
      <c r="B43" s="253" t="s">
        <v>316</v>
      </c>
      <c r="C43" s="253"/>
      <c r="D43" s="249" t="n">
        <f aca="false">(((1+D36+D34+D37)*(1+D35)*(1+D38))/(1-(D39+D40+D41+D42))-1)</f>
        <v>0.152780479429164</v>
      </c>
      <c r="E43" s="249" t="n">
        <f aca="false">(((1+E36+E34+E37)*(1+E35)*(1+E38))/(1-(E39+E40+E41+E42))-1)</f>
        <v>0.152780479429164</v>
      </c>
      <c r="F43" s="249" t="n">
        <f aca="false">(((1+F36+F34+F37)*(1+F35)*(1+F38))/(1-(F39+F40+F41+F42))-1)</f>
        <v>0.152780479429164</v>
      </c>
      <c r="G43" s="249" t="n">
        <f aca="false">(((1+G36+G34+G37)*(1+G35)*(1+G38))/(1-(G39+G40+G41+G42))-1)</f>
        <v>0.152780479429164</v>
      </c>
      <c r="H43" s="249" t="n">
        <f aca="false">(((1+H36+H34+H37)*(1+H35)*(1+H38))/(1-(H39+H40+H41+H42))-1)</f>
        <v>0.152780479429164</v>
      </c>
      <c r="I43" s="249" t="n">
        <f aca="false">(((1+I36+I34+I37)*(1+I35)*(1+I38))/(1-(I39+I40+I41+I42))-1)</f>
        <v>0.152780479429164</v>
      </c>
      <c r="J43" s="249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54" t="s">
        <v>317</v>
      </c>
      <c r="C44" s="254"/>
      <c r="D44" s="251" t="n">
        <f aca="false">ROUND(D43,4)</f>
        <v>0.1528</v>
      </c>
      <c r="E44" s="251" t="n">
        <f aca="false">ROUND(E43,4)</f>
        <v>0.1528</v>
      </c>
      <c r="F44" s="251" t="n">
        <f aca="false">ROUND(F43,4)</f>
        <v>0.1528</v>
      </c>
      <c r="G44" s="251" t="n">
        <f aca="false">ROUND(G43,4)</f>
        <v>0.1528</v>
      </c>
      <c r="H44" s="251" t="n">
        <f aca="false">ROUND(H43,4)</f>
        <v>0.1528</v>
      </c>
      <c r="I44" s="251" t="n">
        <f aca="false">ROUND(I43,4)</f>
        <v>0.1528</v>
      </c>
      <c r="J44" s="251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0" width="32.38"/>
    <col collapsed="false" customWidth="true" hidden="false" outlineLevel="0" max="3" min="3" style="17" width="9.12"/>
    <col collapsed="false" customWidth="true" hidden="false" outlineLevel="0" max="4" min="4" style="17" width="12.25"/>
    <col collapsed="false" customWidth="true" hidden="false" outlineLevel="0" max="5" min="5" style="17" width="13.62"/>
    <col collapsed="false" customWidth="true" hidden="false" outlineLevel="0" max="6" min="6" style="17" width="7"/>
    <col collapsed="false" customWidth="true" hidden="false" outlineLevel="0" max="7" min="7" style="17" width="11.88"/>
    <col collapsed="false" customWidth="true" hidden="false" outlineLevel="0" max="8" min="8" style="17" width="13.25"/>
    <col collapsed="false" customWidth="true" hidden="false" outlineLevel="0" max="9" min="9" style="17" width="12.76"/>
    <col collapsed="false" customWidth="true" hidden="false" outlineLevel="0" max="11" min="10" style="17" width="13"/>
    <col collapsed="false" customWidth="true" hidden="false" outlineLevel="0" max="13" min="12" style="17" width="9.25"/>
    <col collapsed="false" customWidth="true" hidden="false" outlineLevel="0" max="248" min="14" style="17" width="10.62"/>
    <col collapsed="false" customWidth="true" hidden="false" outlineLevel="0" max="1024" min="1019" style="0" width="8.5"/>
  </cols>
  <sheetData>
    <row r="2" customFormat="false" ht="24.75" hidden="false" customHeight="true" outlineLevel="0" collapsed="false">
      <c r="B2" s="41" t="str">
        <f aca="false">"DIVISÃO DOS CUSTOS POR ALÍQUOTA DE ISSQN - "&amp;'Valor da Contratação'!B7&amp;""</f>
        <v>DIVISÃO DOS CUSTOS POR ALÍQUOTA DE ISSQN - POLO I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customFormat="false" ht="16.5" hidden="false" customHeight="true" outlineLevel="0" collapsed="false"/>
    <row r="4" customFormat="false" ht="45.75" hidden="false" customHeight="true" outlineLevel="0" collapsed="false">
      <c r="B4" s="41" t="s">
        <v>41</v>
      </c>
      <c r="C4" s="255" t="s">
        <v>319</v>
      </c>
      <c r="D4" s="255" t="s">
        <v>320</v>
      </c>
      <c r="E4" s="255" t="s">
        <v>321</v>
      </c>
      <c r="F4" s="256"/>
      <c r="G4" s="255" t="s">
        <v>322</v>
      </c>
      <c r="H4" s="255" t="s">
        <v>323</v>
      </c>
      <c r="I4" s="255" t="s">
        <v>324</v>
      </c>
      <c r="J4" s="255" t="s">
        <v>325</v>
      </c>
      <c r="K4" s="255" t="s">
        <v>326</v>
      </c>
      <c r="L4" s="255" t="s">
        <v>327</v>
      </c>
      <c r="M4" s="255" t="s">
        <v>328</v>
      </c>
    </row>
    <row r="5" customFormat="false" ht="15" hidden="false" customHeight="true" outlineLevel="0" collapsed="false">
      <c r="B5" s="110" t="str">
        <f aca="false">'Base Maringá'!B7</f>
        <v>APS ASTORGA</v>
      </c>
      <c r="C5" s="257" t="n">
        <f aca="false">VLOOKUP(B5,Unidades!$D$5:$G$29,4,)</f>
        <v>0.03</v>
      </c>
      <c r="D5" s="258" t="n">
        <f aca="false">'Base Maringá'!AD7*12+'Base Maringá'!AE7*4+'Base Maringá'!AF7*2+'Base Maringá'!AG7</f>
        <v>12400.1825272116</v>
      </c>
      <c r="E5" s="258" t="n">
        <f aca="false">'Base Maringá'!AK7*12+'Base Maringá'!AL7*4+'Base Maringá'!AM7*2+'Base Maringá'!AN7</f>
        <v>15319.1854941172</v>
      </c>
      <c r="G5" s="248" t="n">
        <v>0.02</v>
      </c>
      <c r="H5" s="259" t="n">
        <f aca="false">SUMIF(C$5:C$29,G5,D$5:D$29)</f>
        <v>66511.5270428459</v>
      </c>
      <c r="I5" s="259" t="n">
        <f aca="false">SUMIF(C$5:C$29,G5,E$5:E$29)</f>
        <v>81297.0395044705</v>
      </c>
      <c r="J5" s="259" t="n">
        <f aca="false">H5*4</f>
        <v>266046.108171383</v>
      </c>
      <c r="K5" s="259" t="n">
        <f aca="false">I5*4</f>
        <v>325188.158017882</v>
      </c>
      <c r="L5" s="260" t="n">
        <f aca="false">H5/H$13</f>
        <v>0.207266862535471</v>
      </c>
      <c r="M5" s="260" t="n">
        <f aca="false">I5/I$13</f>
        <v>0.204741158153943</v>
      </c>
    </row>
    <row r="6" customFormat="false" ht="15" hidden="false" customHeight="true" outlineLevel="0" collapsed="false">
      <c r="B6" s="110" t="str">
        <f aca="false">'Base Maringá'!B8</f>
        <v>APS CAMPO MOURÃO</v>
      </c>
      <c r="C6" s="257" t="n">
        <f aca="false">VLOOKUP(B6,Unidades!$D$5:$G$29,4,)</f>
        <v>0.05</v>
      </c>
      <c r="D6" s="258" t="n">
        <f aca="false">'Base Maringá'!AD8*12+'Base Maringá'!AE8*4+'Base Maringá'!AF8*2+'Base Maringá'!AG8</f>
        <v>16757.973892737</v>
      </c>
      <c r="E6" s="258" t="n">
        <f aca="false">'Base Maringá'!AK8*12+'Base Maringá'!AL8*4+'Base Maringá'!AM8*2+'Base Maringá'!AN8</f>
        <v>21155.2662421912</v>
      </c>
      <c r="G6" s="248" t="n">
        <v>0.025</v>
      </c>
      <c r="H6" s="259" t="n">
        <f aca="false">SUMIF(C$5:C$29,G6,D$5:D$29)</f>
        <v>0</v>
      </c>
      <c r="I6" s="259" t="n">
        <f aca="false">SUMIF(C$5:C$29,G6,E$5:E$29)</f>
        <v>0</v>
      </c>
      <c r="J6" s="259" t="n">
        <f aca="false">H6*4</f>
        <v>0</v>
      </c>
      <c r="K6" s="259" t="n">
        <f aca="false">I6*4</f>
        <v>0</v>
      </c>
      <c r="L6" s="260" t="n">
        <f aca="false">H6/H$13</f>
        <v>0</v>
      </c>
      <c r="M6" s="260" t="n">
        <f aca="false">I6/I$13</f>
        <v>0</v>
      </c>
    </row>
    <row r="7" customFormat="false" ht="15" hidden="false" customHeight="true" outlineLevel="0" collapsed="false">
      <c r="B7" s="110" t="str">
        <f aca="false">'Base Maringá'!B9</f>
        <v>APS CIANORTE</v>
      </c>
      <c r="C7" s="257" t="n">
        <f aca="false">VLOOKUP(B7,Unidades!$D$5:$G$29,4,)</f>
        <v>0.03</v>
      </c>
      <c r="D7" s="258" t="n">
        <f aca="false">'Base Maringá'!AD9*12+'Base Maringá'!AE9*4+'Base Maringá'!AF9*2+'Base Maringá'!AG9</f>
        <v>9403.38052721156</v>
      </c>
      <c r="E7" s="258" t="n">
        <f aca="false">'Base Maringá'!AK9*12+'Base Maringá'!AL9*4+'Base Maringá'!AM9*2+'Base Maringá'!AN9</f>
        <v>11616.9363033172</v>
      </c>
      <c r="G7" s="248" t="n">
        <v>0.03</v>
      </c>
      <c r="H7" s="259" t="n">
        <f aca="false">SUMIF(C$5:C$29,G7,D$5:D$29)</f>
        <v>168021.372345834</v>
      </c>
      <c r="I7" s="259" t="n">
        <f aca="false">SUMIF(C$5:C$29,G7,E$5:E$29)</f>
        <v>207573.603396044</v>
      </c>
      <c r="J7" s="259" t="n">
        <f aca="false">H7*4</f>
        <v>672085.489383337</v>
      </c>
      <c r="K7" s="259" t="n">
        <f aca="false">I7*4</f>
        <v>830294.413584174</v>
      </c>
      <c r="L7" s="260" t="n">
        <f aca="false">H7/H$13</f>
        <v>0.523597400832357</v>
      </c>
      <c r="M7" s="260" t="n">
        <f aca="false">I7/I$13</f>
        <v>0.52276024096986</v>
      </c>
    </row>
    <row r="8" customFormat="false" ht="15" hidden="false" customHeight="true" outlineLevel="0" collapsed="false">
      <c r="B8" s="110" t="str">
        <f aca="false">'Base Maringá'!B10</f>
        <v>APS COLORADO</v>
      </c>
      <c r="C8" s="257" t="n">
        <f aca="false">VLOOKUP(B8,Unidades!$D$5:$G$29,4,)</f>
        <v>0.03</v>
      </c>
      <c r="D8" s="258" t="n">
        <f aca="false">'Base Maringá'!AD10*12+'Base Maringá'!AE10*4+'Base Maringá'!AF10*2+'Base Maringá'!AG10</f>
        <v>9564.12852721156</v>
      </c>
      <c r="E8" s="258" t="n">
        <f aca="false">'Base Maringá'!AK10*12+'Base Maringá'!AL10*4+'Base Maringá'!AM10*2+'Base Maringá'!AN10</f>
        <v>11815.5243825172</v>
      </c>
      <c r="G8" s="248" t="n">
        <v>0.035</v>
      </c>
      <c r="H8" s="259" t="n">
        <f aca="false">SUMIF(C$5:C$29,G8,D$5:D$29)</f>
        <v>0</v>
      </c>
      <c r="I8" s="259" t="n">
        <f aca="false">SUMIF(C$5:C$29,G8,E$5:E$29)</f>
        <v>0</v>
      </c>
      <c r="J8" s="259" t="n">
        <f aca="false">H8*4</f>
        <v>0</v>
      </c>
      <c r="K8" s="259" t="n">
        <f aca="false">I8*4</f>
        <v>0</v>
      </c>
      <c r="L8" s="260" t="n">
        <f aca="false">H8/H$13</f>
        <v>0</v>
      </c>
      <c r="M8" s="260" t="n">
        <f aca="false">I8/I$13</f>
        <v>0</v>
      </c>
    </row>
    <row r="9" s="29" customFormat="true" ht="15" hidden="false" customHeight="true" outlineLevel="0" collapsed="false">
      <c r="B9" s="110" t="str">
        <f aca="false">'Base Maringá'!B11</f>
        <v>APS CRUZEIRO DO OESTE</v>
      </c>
      <c r="C9" s="257" t="n">
        <f aca="false">VLOOKUP(B9,Unidades!$D$5:$G$29,4,)</f>
        <v>0.04</v>
      </c>
      <c r="D9" s="258" t="n">
        <f aca="false">'Base Maringá'!AD11*12+'Base Maringá'!AE11*4+'Base Maringá'!AF11*2+'Base Maringá'!AG11</f>
        <v>11028.4415272116</v>
      </c>
      <c r="E9" s="258" t="n">
        <f aca="false">'Base Maringá'!AK11*12+'Base Maringá'!AL11*4+'Base Maringá'!AM11*2+'Base Maringá'!AN11</f>
        <v>13771.2149350291</v>
      </c>
      <c r="G9" s="248" t="n">
        <v>0.04</v>
      </c>
      <c r="H9" s="259" t="n">
        <f aca="false">SUMIF(C$5:C$29,G9,D$5:D$29)</f>
        <v>60269.6146913715</v>
      </c>
      <c r="I9" s="259" t="n">
        <f aca="false">SUMIF(C$5:C$29,G9,E$5:E$29)</f>
        <v>75258.6678651155</v>
      </c>
      <c r="J9" s="259" t="n">
        <f aca="false">H9*4</f>
        <v>241078.458765486</v>
      </c>
      <c r="K9" s="259" t="n">
        <f aca="false">I9*4</f>
        <v>301034.671460462</v>
      </c>
      <c r="L9" s="260" t="n">
        <f aca="false">H9/H$13</f>
        <v>0.187815473478081</v>
      </c>
      <c r="M9" s="260" t="n">
        <f aca="false">I9/I$13</f>
        <v>0.189533922929375</v>
      </c>
      <c r="IO9" s="32"/>
    </row>
    <row r="10" s="29" customFormat="true" ht="15" hidden="false" customHeight="true" outlineLevel="0" collapsed="false">
      <c r="B10" s="110" t="str">
        <f aca="false">'Base Maringá'!B12</f>
        <v>APS LOANDA</v>
      </c>
      <c r="C10" s="257" t="n">
        <f aca="false">VLOOKUP(B10,Unidades!$D$5:$G$29,4,)</f>
        <v>0.05</v>
      </c>
      <c r="D10" s="258" t="n">
        <f aca="false">'Base Maringá'!AD12*12+'Base Maringá'!AE12*4+'Base Maringá'!AF12*2+'Base Maringá'!AG12</f>
        <v>9337.53802721156</v>
      </c>
      <c r="E10" s="258" t="n">
        <f aca="false">'Base Maringá'!AK12*12+'Base Maringá'!AL12*4+'Base Maringá'!AM12*2+'Base Maringá'!AN12</f>
        <v>11787.7080055519</v>
      </c>
      <c r="G10" s="248" t="n">
        <v>0.045</v>
      </c>
      <c r="H10" s="259" t="n">
        <f aca="false">SUMIF(C$5:C$29,G10,D$5:D$29)</f>
        <v>0</v>
      </c>
      <c r="I10" s="259" t="n">
        <f aca="false">SUMIF(C$5:C$29,G10,E$5:E$29)</f>
        <v>0</v>
      </c>
      <c r="J10" s="259" t="n">
        <f aca="false">H10*4</f>
        <v>0</v>
      </c>
      <c r="K10" s="259" t="n">
        <f aca="false">I10*4</f>
        <v>0</v>
      </c>
      <c r="L10" s="260" t="n">
        <f aca="false">H10/H$13</f>
        <v>0</v>
      </c>
      <c r="M10" s="260" t="n">
        <f aca="false">I10/I$13</f>
        <v>0</v>
      </c>
      <c r="IO10" s="32"/>
    </row>
    <row r="11" customFormat="false" ht="15" hidden="false" customHeight="true" outlineLevel="0" collapsed="false">
      <c r="B11" s="110" t="str">
        <f aca="false">'Base Maringá'!B13</f>
        <v>APS MANDAGUARI</v>
      </c>
      <c r="C11" s="257" t="n">
        <f aca="false">VLOOKUP(B11,Unidades!$D$5:$G$29,4,)</f>
        <v>0.03</v>
      </c>
      <c r="D11" s="258" t="n">
        <f aca="false">'Base Maringá'!AD13*12+'Base Maringá'!AE13*4+'Base Maringá'!AF13*2+'Base Maringá'!AG13</f>
        <v>8680.01452721156</v>
      </c>
      <c r="E11" s="258" t="n">
        <f aca="false">'Base Maringá'!AK13*12+'Base Maringá'!AL13*4+'Base Maringá'!AM13*2+'Base Maringá'!AN13</f>
        <v>10723.2899469172</v>
      </c>
      <c r="G11" s="248" t="n">
        <v>0.05</v>
      </c>
      <c r="H11" s="259" t="n">
        <f aca="false">SUMIF(C$5:C$29,G11,D$5:D$29)</f>
        <v>26095.5119199485</v>
      </c>
      <c r="I11" s="259" t="n">
        <f aca="false">SUMIF(C$5:C$29,G11,E$5:E$29)</f>
        <v>32942.974247743</v>
      </c>
      <c r="J11" s="259" t="n">
        <f aca="false">H11*4</f>
        <v>104382.047679794</v>
      </c>
      <c r="K11" s="259" t="n">
        <f aca="false">I11*4</f>
        <v>131771.896990972</v>
      </c>
      <c r="L11" s="260" t="n">
        <f aca="false">H11/H$13</f>
        <v>0.0813202631540916</v>
      </c>
      <c r="M11" s="260" t="n">
        <f aca="false">I11/I$13</f>
        <v>0.0829646779468217</v>
      </c>
    </row>
    <row r="12" customFormat="false" ht="15" hidden="false" customHeight="true" outlineLevel="0" collapsed="false">
      <c r="B12" s="110" t="str">
        <f aca="false">'Base Maringá'!B14</f>
        <v>APS NOVA ESPERANÇA</v>
      </c>
      <c r="C12" s="257" t="n">
        <f aca="false">VLOOKUP(B12,Unidades!$D$5:$G$29,4,)</f>
        <v>0.02</v>
      </c>
      <c r="D12" s="258" t="n">
        <f aca="false">'Base Maringá'!AD14*12+'Base Maringá'!AE14*4+'Base Maringá'!AF14*2+'Base Maringá'!AG14</f>
        <v>9564.12852721156</v>
      </c>
      <c r="E12" s="258" t="n">
        <f aca="false">'Base Maringá'!AK14*12+'Base Maringá'!AL14*4+'Base Maringá'!AM14*2+'Base Maringá'!AN14</f>
        <v>11690.2342988107</v>
      </c>
      <c r="G12" s="18"/>
    </row>
    <row r="13" s="17" customFormat="true" ht="15" hidden="false" customHeight="true" outlineLevel="0" collapsed="false">
      <c r="B13" s="110" t="str">
        <f aca="false">'Base Maringá'!B15</f>
        <v>APS PAIÇANDU</v>
      </c>
      <c r="C13" s="257" t="n">
        <f aca="false">VLOOKUP(B13,Unidades!$D$5:$G$29,4,)</f>
        <v>0.03</v>
      </c>
      <c r="D13" s="258" t="n">
        <f aca="false">'Base Maringá'!AD15*12+'Base Maringá'!AE15*4+'Base Maringá'!AF15*2+'Base Maringá'!AG15</f>
        <v>9403.38052721156</v>
      </c>
      <c r="E13" s="258" t="n">
        <f aca="false">'Base Maringá'!AK15*12+'Base Maringá'!AL15*4+'Base Maringá'!AM15*2+'Base Maringá'!AN15</f>
        <v>11616.9363033172</v>
      </c>
      <c r="G13" s="255" t="s">
        <v>100</v>
      </c>
      <c r="H13" s="261" t="n">
        <f aca="false">SUM(H5:H11)</f>
        <v>320898.026</v>
      </c>
      <c r="I13" s="261" t="n">
        <f aca="false">SUM(I5:I11)</f>
        <v>397072.285013373</v>
      </c>
      <c r="J13" s="261" t="n">
        <f aca="false">SUM(J5:J11)</f>
        <v>1283592.104</v>
      </c>
      <c r="K13" s="261" t="n">
        <f aca="false">SUM(K5:K11)</f>
        <v>1588289.14005349</v>
      </c>
      <c r="L13" s="262" t="n">
        <f aca="false">SUM(L5:L11)</f>
        <v>1</v>
      </c>
      <c r="M13" s="262" t="n">
        <f aca="false">SUM(M5:M11)</f>
        <v>1</v>
      </c>
    </row>
    <row r="14" s="17" customFormat="true" ht="15" hidden="false" customHeight="true" outlineLevel="0" collapsed="false">
      <c r="B14" s="110" t="str">
        <f aca="false">'Base Maringá'!B16</f>
        <v>APS PARANAVAÍ</v>
      </c>
      <c r="C14" s="257" t="n">
        <f aca="false">VLOOKUP(B14,Unidades!$D$5:$G$29,4,)</f>
        <v>0.04</v>
      </c>
      <c r="D14" s="258" t="n">
        <f aca="false">'Base Maringá'!AD16*12+'Base Maringá'!AE16*4+'Base Maringá'!AF16*2+'Base Maringá'!AG16</f>
        <v>14759.633392737</v>
      </c>
      <c r="E14" s="258" t="n">
        <f aca="false">'Base Maringá'!AK16*12+'Base Maringá'!AL16*4+'Base Maringá'!AM16*2+'Base Maringá'!AN16</f>
        <v>18430.3542175107</v>
      </c>
    </row>
    <row r="15" s="17" customFormat="true" ht="15" hidden="false" customHeight="true" outlineLevel="0" collapsed="false">
      <c r="B15" s="110" t="str">
        <f aca="false">'Base Maringá'!B17</f>
        <v>APS UMUARAMA</v>
      </c>
      <c r="C15" s="257" t="n">
        <f aca="false">VLOOKUP(B15,Unidades!$D$5:$G$29,4,)</f>
        <v>0.02</v>
      </c>
      <c r="D15" s="258" t="n">
        <f aca="false">'Base Maringá'!AD17*12+'Base Maringá'!AE17*4+'Base Maringá'!AF17*2+'Base Maringá'!AG17</f>
        <v>21593.5032442114</v>
      </c>
      <c r="E15" s="258" t="n">
        <f aca="false">'Base Maringá'!AK17*12+'Base Maringá'!AL17*4+'Base Maringá'!AM17*2+'Base Maringá'!AN17</f>
        <v>26393.7390153995</v>
      </c>
    </row>
    <row r="16" s="17" customFormat="true" ht="15" hidden="false" customHeight="true" outlineLevel="0" collapsed="false">
      <c r="B16" s="110" t="str">
        <f aca="false">'Base Maringá'!B18</f>
        <v>CEDOCPREV MARINGÁ</v>
      </c>
      <c r="C16" s="257" t="n">
        <f aca="false">VLOOKUP(B16,Unidades!$D$5:$G$29,4,)</f>
        <v>0.03</v>
      </c>
      <c r="D16" s="258" t="n">
        <f aca="false">'Base Maringá'!AD18*12+'Base Maringá'!AE18*4+'Base Maringá'!AF18*2+'Base Maringá'!AG18</f>
        <v>11228.8927029487</v>
      </c>
      <c r="E16" s="258" t="n">
        <f aca="false">'Base Maringá'!AK18*12+'Base Maringá'!AL18*4+'Base Maringá'!AM18*2+'Base Maringá'!AN18</f>
        <v>13872.1740452229</v>
      </c>
    </row>
    <row r="17" s="17" customFormat="true" ht="15" hidden="false" customHeight="true" outlineLevel="0" collapsed="false">
      <c r="B17" s="110" t="str">
        <f aca="false">'Base Maringá'!B19</f>
        <v>GEX/APS MARINGÁ</v>
      </c>
      <c r="C17" s="257" t="n">
        <f aca="false">VLOOKUP(B17,Unidades!$D$5:$G$29,4,)</f>
        <v>0.03</v>
      </c>
      <c r="D17" s="258" t="n">
        <f aca="false">'Base Maringá'!AD19*12+'Base Maringá'!AE19*4+'Base Maringá'!AF19*2+'Base Maringá'!AG19</f>
        <v>18211.6962442114</v>
      </c>
      <c r="E17" s="258" t="n">
        <f aca="false">'Base Maringá'!AK19*12+'Base Maringá'!AL19*4+'Base Maringá'!AM19*2+'Base Maringá'!AN19</f>
        <v>22498.7295400987</v>
      </c>
    </row>
    <row r="18" s="17" customFormat="true" ht="15" hidden="false" customHeight="true" outlineLevel="0" collapsed="false">
      <c r="B18" s="110" t="str">
        <f aca="false">'Base Cascavel'!B7</f>
        <v>APS GOIOERÊ</v>
      </c>
      <c r="C18" s="257" t="n">
        <f aca="false">VLOOKUP(B18,Unidades!$D$5:$G$29,4,)</f>
        <v>0.02</v>
      </c>
      <c r="D18" s="258" t="n">
        <f aca="false">'Base Cascavel'!AD7*12+'Base Cascavel'!AE7*4+'Base Cascavel'!AF7*2+'Base Cascavel'!AG7</f>
        <v>13382.4247169998</v>
      </c>
      <c r="E18" s="258" t="n">
        <f aca="false">'Base Cascavel'!AK7*12+'Base Cascavel'!AL7*4+'Base Cascavel'!AM7*2+'Base Cascavel'!AN7</f>
        <v>16357.3377315889</v>
      </c>
    </row>
    <row r="19" s="17" customFormat="true" ht="15" hidden="false" customHeight="true" outlineLevel="0" collapsed="false">
      <c r="B19" s="110" t="str">
        <f aca="false">'Base Cascavel'!B8</f>
        <v>GEX CASCAVEL</v>
      </c>
      <c r="C19" s="257" t="n">
        <f aca="false">VLOOKUP(B19,Unidades!$D$5:$G$29,4,)</f>
        <v>0.03</v>
      </c>
      <c r="D19" s="258" t="n">
        <f aca="false">'Base Cascavel'!AD8*12+'Base Cascavel'!AE8*4+'Base Cascavel'!AF8*2+'Base Cascavel'!AG8</f>
        <v>9168.35284108451</v>
      </c>
      <c r="E19" s="258" t="n">
        <f aca="false">'Base Cascavel'!AK8*12+'Base Cascavel'!AL8*4+'Base Cascavel'!AM8*2+'Base Cascavel'!AN8</f>
        <v>11326.5830998758</v>
      </c>
    </row>
    <row r="20" s="17" customFormat="true" ht="15" hidden="false" customHeight="true" outlineLevel="0" collapsed="false">
      <c r="B20" s="110" t="str">
        <f aca="false">'Base Cascavel'!B9</f>
        <v>APS CASCAVEL</v>
      </c>
      <c r="C20" s="257" t="n">
        <f aca="false">VLOOKUP(B20,Unidades!$D$5:$G$29,4,)</f>
        <v>0.03</v>
      </c>
      <c r="D20" s="258" t="n">
        <f aca="false">'Base Cascavel'!AD9*12+'Base Cascavel'!AE9*4+'Base Cascavel'!AF9*2+'Base Cascavel'!AG9</f>
        <v>21862.9722442114</v>
      </c>
      <c r="E20" s="258" t="n">
        <f aca="false">'Base Cascavel'!AK9*12+'Base Cascavel'!AL9*4+'Base Cascavel'!AM9*2+'Base Cascavel'!AN9</f>
        <v>27009.5159104987</v>
      </c>
    </row>
    <row r="21" s="17" customFormat="true" ht="15" hidden="false" customHeight="true" outlineLevel="0" collapsed="false">
      <c r="B21" s="110" t="str">
        <f aca="false">'Base Cascavel'!B10</f>
        <v>APS TOLEDO</v>
      </c>
      <c r="C21" s="257" t="n">
        <f aca="false">VLOOKUP(B21,Unidades!$D$5:$G$29,4,)</f>
        <v>0.03</v>
      </c>
      <c r="D21" s="258" t="n">
        <f aca="false">'Base Cascavel'!AD10*12+'Base Cascavel'!AE10*4+'Base Cascavel'!AF10*2+'Base Cascavel'!AG10</f>
        <v>14901.527392737</v>
      </c>
      <c r="E21" s="258" t="n">
        <f aca="false">'Base Cascavel'!AK10*12+'Base Cascavel'!AL10*4+'Base Cascavel'!AM10*2+'Base Cascavel'!AN10</f>
        <v>18409.3469409873</v>
      </c>
    </row>
    <row r="22" s="29" customFormat="true" ht="15" hidden="false" customHeight="true" outlineLevel="0" collapsed="false">
      <c r="B22" s="110" t="str">
        <f aca="false">'Base Cascavel'!B11</f>
        <v>APS MARECHAL CÂNDIDO RONDON</v>
      </c>
      <c r="C22" s="257" t="n">
        <f aca="false">VLOOKUP(B22,Unidades!$D$5:$G$29,4,)</f>
        <v>0.02</v>
      </c>
      <c r="D22" s="258" t="n">
        <f aca="false">'Base Cascavel'!AD11*12+'Base Cascavel'!AE11*4+'Base Cascavel'!AF11*2+'Base Cascavel'!AG11</f>
        <v>9479.43202721156</v>
      </c>
      <c r="E22" s="258" t="n">
        <f aca="false">'Base Cascavel'!AK11*12+'Base Cascavel'!AL11*4+'Base Cascavel'!AM11*2+'Base Cascavel'!AN11</f>
        <v>11586.7097668607</v>
      </c>
    </row>
    <row r="23" s="17" customFormat="true" ht="15" hidden="false" customHeight="true" outlineLevel="0" collapsed="false">
      <c r="B23" s="110" t="str">
        <f aca="false">'Base Cascavel'!B12</f>
        <v>APS ASSIS CHATEAUBRIAND</v>
      </c>
      <c r="C23" s="257" t="n">
        <f aca="false">VLOOKUP(B23,Unidades!$D$5:$G$29,4,)</f>
        <v>0.03</v>
      </c>
      <c r="D23" s="258" t="n">
        <f aca="false">'Base Cascavel'!AD12*12+'Base Cascavel'!AE12*4+'Base Cascavel'!AF12*2+'Base Cascavel'!AG12</f>
        <v>10531.8125272116</v>
      </c>
      <c r="E23" s="258" t="n">
        <f aca="false">'Base Cascavel'!AK12*12+'Base Cascavel'!AL12*4+'Base Cascavel'!AM12*2+'Base Cascavel'!AN12</f>
        <v>13011.0011961172</v>
      </c>
    </row>
    <row r="24" customFormat="false" ht="15" hidden="false" customHeight="true" outlineLevel="0" collapsed="false">
      <c r="B24" s="110" t="str">
        <f aca="false">'Base Cascavel'!B13</f>
        <v>APS PALOTINA</v>
      </c>
      <c r="C24" s="257" t="n">
        <f aca="false">VLOOKUP(B24,Unidades!$D$5:$G$29,4,)</f>
        <v>0.03</v>
      </c>
      <c r="D24" s="258" t="n">
        <f aca="false">'Base Cascavel'!AD13*12+'Base Cascavel'!AE13*4+'Base Cascavel'!AF13*2+'Base Cascavel'!AG13</f>
        <v>10712.3285272116</v>
      </c>
      <c r="E24" s="258" t="n">
        <f aca="false">'Base Cascavel'!AK13*12+'Base Cascavel'!AL13*4+'Base Cascavel'!AM13*2+'Base Cascavel'!AN13</f>
        <v>13234.0106625172</v>
      </c>
    </row>
    <row r="25" customFormat="false" ht="15" hidden="false" customHeight="true" outlineLevel="0" collapsed="false">
      <c r="B25" s="110" t="str">
        <f aca="false">'Base Cascavel'!B14</f>
        <v>APS GUAÍRA</v>
      </c>
      <c r="C25" s="257" t="n">
        <f aca="false">VLOOKUP(B25,Unidades!$D$5:$G$29,4,)</f>
        <v>0.04</v>
      </c>
      <c r="D25" s="258" t="n">
        <f aca="false">'Base Cascavel'!AD14*12+'Base Cascavel'!AE14*4+'Base Cascavel'!AF14*2+'Base Cascavel'!AG14</f>
        <v>10712.3285272116</v>
      </c>
      <c r="E25" s="258" t="n">
        <f aca="false">'Base Cascavel'!AK14*12+'Base Cascavel'!AL14*4+'Base Cascavel'!AM14*2+'Base Cascavel'!AN14</f>
        <v>13376.4846319291</v>
      </c>
    </row>
    <row r="26" customFormat="false" ht="15" hidden="false" customHeight="true" outlineLevel="0" collapsed="false">
      <c r="B26" s="110" t="str">
        <f aca="false">'Base Cascavel'!B15</f>
        <v>APS MEDIANEIRA</v>
      </c>
      <c r="C26" s="257" t="n">
        <f aca="false">VLOOKUP(B26,Unidades!$D$5:$G$29,4,)</f>
        <v>0.03</v>
      </c>
      <c r="D26" s="258" t="n">
        <f aca="false">'Base Cascavel'!AD15*12+'Base Cascavel'!AE15*4+'Base Cascavel'!AF15*2+'Base Cascavel'!AG15</f>
        <v>12250.7907029487</v>
      </c>
      <c r="E26" s="258" t="n">
        <f aca="false">'Base Cascavel'!AK15*12+'Base Cascavel'!AL15*4+'Base Cascavel'!AM15*2+'Base Cascavel'!AN15</f>
        <v>15134.6268344229</v>
      </c>
    </row>
    <row r="27" customFormat="false" ht="15" hidden="false" customHeight="true" outlineLevel="0" collapsed="false">
      <c r="B27" s="110" t="str">
        <f aca="false">'Base Cascavel'!B16</f>
        <v>APS SÃO MIGUEL DO IGUAÇU</v>
      </c>
      <c r="C27" s="257" t="n">
        <f aca="false">VLOOKUP(B27,Unidades!$D$5:$G$29,4,)</f>
        <v>0.03</v>
      </c>
      <c r="D27" s="258" t="n">
        <f aca="false">'Base Cascavel'!AD16*12+'Base Cascavel'!AE16*4+'Base Cascavel'!AF16*2+'Base Cascavel'!AG16</f>
        <v>9701.91252721156</v>
      </c>
      <c r="E27" s="258" t="n">
        <f aca="false">'Base Cascavel'!AK16*12+'Base Cascavel'!AL16*4+'Base Cascavel'!AM16*2+'Base Cascavel'!AN16</f>
        <v>11985.7427361172</v>
      </c>
    </row>
    <row r="28" customFormat="false" ht="15" hidden="false" customHeight="true" outlineLevel="0" collapsed="false">
      <c r="B28" s="110" t="str">
        <f aca="false">'Base Cascavel'!B17</f>
        <v>APS FOZ DO IGUAÇU</v>
      </c>
      <c r="C28" s="257" t="n">
        <f aca="false">VLOOKUP(B28,Unidades!$D$5:$G$29,4,)</f>
        <v>0.04</v>
      </c>
      <c r="D28" s="258" t="n">
        <f aca="false">'Base Cascavel'!AD17*12+'Base Cascavel'!AE17*4+'Base Cascavel'!AF17*2+'Base Cascavel'!AG17</f>
        <v>23769.2112442114</v>
      </c>
      <c r="E28" s="258" t="n">
        <f aca="false">'Base Cascavel'!AK17*12+'Base Cascavel'!AL17*4+'Base Cascavel'!AM17*2+'Base Cascavel'!AN17</f>
        <v>29680.6140806467</v>
      </c>
    </row>
    <row r="29" customFormat="false" ht="15" hidden="false" customHeight="true" outlineLevel="0" collapsed="false">
      <c r="B29" s="110" t="str">
        <f aca="false">'Base Cascavel'!B18</f>
        <v>APS QUEDAS DO IGUAÇU</v>
      </c>
      <c r="C29" s="257" t="n">
        <f aca="false">VLOOKUP(B29,Unidades!$D$5:$G$29,4,)</f>
        <v>0.02</v>
      </c>
      <c r="D29" s="258" t="n">
        <f aca="false">'Base Cascavel'!AD18*12+'Base Cascavel'!AE18*4+'Base Cascavel'!AF18*2+'Base Cascavel'!AG18</f>
        <v>12492.0385272116</v>
      </c>
      <c r="E29" s="258" t="n">
        <f aca="false">'Base Cascavel'!AK18*12+'Base Cascavel'!AL18*4+'Base Cascavel'!AM18*2+'Base Cascavel'!AN18</f>
        <v>15269.0186918107</v>
      </c>
    </row>
    <row r="30" customFormat="false" ht="13.5" hidden="false" customHeight="false" outlineLevel="0" collapsed="false">
      <c r="B30" s="41" t="s">
        <v>100</v>
      </c>
      <c r="C30" s="41"/>
      <c r="D30" s="263" t="n">
        <f aca="false">SUM(D5:D29)</f>
        <v>320898.026</v>
      </c>
      <c r="E30" s="263" t="n">
        <f aca="false">SUM(E5:E29)</f>
        <v>397072.285013373</v>
      </c>
    </row>
  </sheetData>
  <mergeCells count="2">
    <mergeCell ref="B2:M2"/>
    <mergeCell ref="B30:C30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41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5" activeCellId="0" sqref="D5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7" width="33.38"/>
    <col collapsed="false" customWidth="true" hidden="false" outlineLevel="0" max="4" min="3" style="17" width="14.75"/>
    <col collapsed="false" customWidth="true" hidden="false" outlineLevel="0" max="5" min="5" style="17" width="15.62"/>
    <col collapsed="false" customWidth="true" hidden="false" outlineLevel="0" max="6" min="6" style="17" width="13.76"/>
    <col collapsed="false" customWidth="true" hidden="false" outlineLevel="0" max="7" min="7" style="17" width="14.87"/>
    <col collapsed="false" customWidth="true" hidden="false" outlineLevel="0" max="8" min="8" style="17" width="14.38"/>
    <col collapsed="false" customWidth="true" hidden="false" outlineLevel="0" max="9" min="9" style="18" width="14"/>
    <col collapsed="false" customWidth="true" hidden="false" outlineLevel="0" max="10" min="10" style="17" width="14.87"/>
    <col collapsed="false" customWidth="true" hidden="false" outlineLevel="0" max="249" min="11" style="17" width="10.62"/>
    <col collapsed="false" customWidth="true" hidden="false" outlineLevel="0" max="1024" min="1020" style="0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"PLANILHA RESUMO "&amp;'Valor da Contratação'!B7&amp;""</f>
        <v>PLANILHA RESUMO POLO I</v>
      </c>
      <c r="C2" s="19"/>
      <c r="D2" s="19"/>
      <c r="E2" s="19"/>
      <c r="F2" s="19"/>
      <c r="G2" s="19"/>
      <c r="H2" s="19"/>
      <c r="I2" s="19"/>
      <c r="J2" s="20"/>
    </row>
    <row r="3" customFormat="false" ht="15" hidden="false" customHeight="true" outlineLevel="0" collapsed="false">
      <c r="B3" s="1"/>
      <c r="H3" s="1"/>
      <c r="I3" s="21"/>
    </row>
    <row r="4" customFormat="false" ht="46.5" hidden="false" customHeight="true" outlineLevel="0" collapsed="false">
      <c r="B4" s="22" t="s">
        <v>13</v>
      </c>
      <c r="C4" s="22" t="s">
        <v>14</v>
      </c>
      <c r="D4" s="22" t="s">
        <v>15</v>
      </c>
      <c r="E4" s="22" t="s">
        <v>16</v>
      </c>
      <c r="F4" s="22" t="s">
        <v>17</v>
      </c>
      <c r="G4" s="22" t="s">
        <v>18</v>
      </c>
      <c r="H4" s="22" t="s">
        <v>19</v>
      </c>
      <c r="I4" s="22" t="s">
        <v>20</v>
      </c>
    </row>
    <row r="5" customFormat="false" ht="19.5" hidden="false" customHeight="true" outlineLevel="0" collapsed="false">
      <c r="B5" s="23" t="s">
        <v>21</v>
      </c>
      <c r="C5" s="24" t="n">
        <f aca="false">'Base Maringá'!C20</f>
        <v>16118.64</v>
      </c>
      <c r="D5" s="25" t="n">
        <f aca="false">'Base Maringá'!AT10</f>
        <v>16724.2743941667</v>
      </c>
      <c r="E5" s="25" t="n">
        <f aca="false">D5*12</f>
        <v>200691.29273</v>
      </c>
      <c r="F5" s="25" t="n">
        <f aca="false">'Base Maringá'!AT12</f>
        <v>50172.8231825001</v>
      </c>
      <c r="G5" s="25" t="n">
        <f aca="false">F5*12</f>
        <v>602073.878190001</v>
      </c>
      <c r="H5" s="25" t="n">
        <f aca="false">D5+F5</f>
        <v>66897.0975766668</v>
      </c>
      <c r="I5" s="25" t="n">
        <f aca="false">H5*12</f>
        <v>802765.170920002</v>
      </c>
    </row>
    <row r="6" customFormat="false" ht="19.5" hidden="false" customHeight="true" outlineLevel="0" collapsed="false">
      <c r="B6" s="23" t="s">
        <v>22</v>
      </c>
      <c r="C6" s="24" t="n">
        <f aca="false">'Base Cascavel'!C19</f>
        <v>14675.69</v>
      </c>
      <c r="D6" s="25" t="n">
        <f aca="false">'Base Cascavel'!AT10</f>
        <v>16365.082690281</v>
      </c>
      <c r="E6" s="25" t="n">
        <f aca="false">D6*12</f>
        <v>196380.992283372</v>
      </c>
      <c r="F6" s="25" t="n">
        <f aca="false">'Base Cascavel'!AT12</f>
        <v>49095.248070843</v>
      </c>
      <c r="G6" s="25" t="n">
        <f aca="false">F6*12</f>
        <v>589142.976850117</v>
      </c>
      <c r="H6" s="25" t="n">
        <f aca="false">D6+F6</f>
        <v>65460.3307611241</v>
      </c>
      <c r="I6" s="25" t="n">
        <f aca="false">H6*12</f>
        <v>785523.969133489</v>
      </c>
    </row>
    <row r="7" customFormat="false" ht="19.5" hidden="false" customHeight="true" outlineLevel="0" collapsed="false">
      <c r="B7" s="26" t="str">
        <f aca="false">"TOTAL "&amp;'Valor da Contratação'!B7&amp;""</f>
        <v>TOTAL POLO I</v>
      </c>
      <c r="C7" s="27" t="n">
        <f aca="false">SUM(C5:C6)</f>
        <v>30794.33</v>
      </c>
      <c r="D7" s="28" t="n">
        <f aca="false">SUM(D5:D6)</f>
        <v>33089.3570844477</v>
      </c>
      <c r="E7" s="28" t="n">
        <f aca="false">SUM(E5:E6)</f>
        <v>397072.285013373</v>
      </c>
      <c r="F7" s="28" t="n">
        <f aca="false">SUM(F5:F6)</f>
        <v>99268.0712533432</v>
      </c>
      <c r="G7" s="28" t="n">
        <f aca="false">SUM(G5:G6)</f>
        <v>1191216.85504012</v>
      </c>
      <c r="H7" s="28" t="n">
        <f aca="false">SUM(H5:H6)</f>
        <v>132357.428337791</v>
      </c>
      <c r="I7" s="28" t="n">
        <f aca="false">SUM(I5:I6)</f>
        <v>1588289.14005349</v>
      </c>
    </row>
    <row r="8" customFormat="false" ht="24.75" hidden="false" customHeight="true" outlineLevel="0" collapsed="false">
      <c r="B8" s="1"/>
      <c r="C8" s="1"/>
      <c r="D8" s="1"/>
      <c r="E8" s="1"/>
      <c r="F8" s="1"/>
      <c r="G8" s="14"/>
      <c r="H8" s="1"/>
      <c r="I8" s="21"/>
    </row>
    <row r="9" s="29" customFormat="true" ht="27" hidden="false" customHeight="true" outlineLevel="0" collapsed="false">
      <c r="B9" s="30" t="str">
        <f aca="false">"BASE "&amp;B5</f>
        <v>BASE MARINGÁ</v>
      </c>
      <c r="C9" s="31" t="s">
        <v>23</v>
      </c>
      <c r="D9" s="31"/>
      <c r="E9" s="31"/>
      <c r="F9" s="31" t="s">
        <v>24</v>
      </c>
      <c r="G9" s="31"/>
      <c r="H9" s="31"/>
      <c r="I9" s="30" t="s">
        <v>25</v>
      </c>
      <c r="IP9" s="32"/>
    </row>
    <row r="10" s="29" customFormat="true" ht="22.5" hidden="false" customHeight="true" outlineLevel="0" collapsed="false">
      <c r="B10" s="30"/>
      <c r="C10" s="33" t="s">
        <v>26</v>
      </c>
      <c r="D10" s="33" t="s">
        <v>27</v>
      </c>
      <c r="E10" s="33" t="s">
        <v>28</v>
      </c>
      <c r="F10" s="34" t="s">
        <v>26</v>
      </c>
      <c r="G10" s="34" t="s">
        <v>27</v>
      </c>
      <c r="H10" s="34" t="s">
        <v>28</v>
      </c>
      <c r="I10" s="34" t="s">
        <v>29</v>
      </c>
      <c r="IP10" s="32"/>
    </row>
    <row r="11" customFormat="false" ht="16.5" hidden="false" customHeight="true" outlineLevel="0" collapsed="false">
      <c r="B11" s="23" t="str">
        <f aca="false">'Base Maringá'!B7</f>
        <v>APS ASTORGA</v>
      </c>
      <c r="C11" s="25" t="n">
        <f aca="false">'Base Maringá'!AO7</f>
        <v>1276.59879117643</v>
      </c>
      <c r="D11" s="25" t="n">
        <f aca="false">C11*3</f>
        <v>3829.79637352929</v>
      </c>
      <c r="E11" s="25" t="n">
        <f aca="false">C11+D11</f>
        <v>5106.39516470572</v>
      </c>
      <c r="F11" s="25" t="n">
        <f aca="false">C11*12</f>
        <v>15319.1854941172</v>
      </c>
      <c r="G11" s="25" t="n">
        <f aca="false">F11*3</f>
        <v>45957.5564823515</v>
      </c>
      <c r="H11" s="25" t="n">
        <f aca="false">F11+G11</f>
        <v>61276.7419764686</v>
      </c>
      <c r="I11" s="35" t="n">
        <f aca="false">F11/$E$7</f>
        <v>0.0385803443662688</v>
      </c>
    </row>
    <row r="12" customFormat="false" ht="16.5" hidden="false" customHeight="true" outlineLevel="0" collapsed="false">
      <c r="B12" s="23" t="str">
        <f aca="false">'Base Maringá'!B8</f>
        <v>APS CAMPO MOURÃO</v>
      </c>
      <c r="C12" s="25" t="n">
        <f aca="false">'Base Maringá'!AO8</f>
        <v>1762.93885351593</v>
      </c>
      <c r="D12" s="25" t="n">
        <f aca="false">C12*3</f>
        <v>5288.81656054779</v>
      </c>
      <c r="E12" s="25" t="n">
        <f aca="false">C12+D12</f>
        <v>7051.75541406373</v>
      </c>
      <c r="F12" s="25" t="n">
        <f aca="false">C12*12</f>
        <v>21155.2662421912</v>
      </c>
      <c r="G12" s="25" t="n">
        <f aca="false">F12*3</f>
        <v>63465.7987265735</v>
      </c>
      <c r="H12" s="25" t="n">
        <f aca="false">F12+G12</f>
        <v>84621.0649687647</v>
      </c>
      <c r="I12" s="35" t="n">
        <f aca="false">F12/$E$7</f>
        <v>0.0532781235071058</v>
      </c>
    </row>
    <row r="13" customFormat="false" ht="16.5" hidden="false" customHeight="true" outlineLevel="0" collapsed="false">
      <c r="B13" s="23" t="str">
        <f aca="false">'Base Maringá'!B9</f>
        <v>APS CIANORTE</v>
      </c>
      <c r="C13" s="25" t="n">
        <f aca="false">'Base Maringá'!AO9</f>
        <v>968.07802527643</v>
      </c>
      <c r="D13" s="25" t="n">
        <f aca="false">C13*3</f>
        <v>2904.23407582929</v>
      </c>
      <c r="E13" s="25" t="n">
        <f aca="false">C13+D13</f>
        <v>3872.31210110572</v>
      </c>
      <c r="F13" s="25" t="n">
        <f aca="false">C13*12</f>
        <v>11616.9363033172</v>
      </c>
      <c r="G13" s="25" t="n">
        <f aca="false">F13*3</f>
        <v>34850.8089099515</v>
      </c>
      <c r="H13" s="25" t="n">
        <f aca="false">F13+G13</f>
        <v>46467.7452132686</v>
      </c>
      <c r="I13" s="35" t="n">
        <f aca="false">F13/$E$7</f>
        <v>0.0292564773261018</v>
      </c>
    </row>
    <row r="14" customFormat="false" ht="16.5" hidden="false" customHeight="true" outlineLevel="0" collapsed="false">
      <c r="B14" s="23" t="str">
        <f aca="false">'Base Maringá'!B10</f>
        <v>APS COLORADO</v>
      </c>
      <c r="C14" s="25" t="n">
        <f aca="false">'Base Maringá'!AO10</f>
        <v>984.62703187643</v>
      </c>
      <c r="D14" s="25" t="n">
        <f aca="false">C14*3</f>
        <v>2953.88109562929</v>
      </c>
      <c r="E14" s="25" t="n">
        <f aca="false">C14+D14</f>
        <v>3938.50812750572</v>
      </c>
      <c r="F14" s="25" t="n">
        <f aca="false">C14*12</f>
        <v>11815.5243825172</v>
      </c>
      <c r="G14" s="25" t="n">
        <f aca="false">F14*3</f>
        <v>35446.5731475515</v>
      </c>
      <c r="H14" s="25" t="n">
        <f aca="false">F14+G14</f>
        <v>47262.0975300687</v>
      </c>
      <c r="I14" s="35" t="n">
        <f aca="false">F14/$E$7</f>
        <v>0.0297566081251912</v>
      </c>
    </row>
    <row r="15" customFormat="false" ht="16.5" hidden="false" customHeight="true" outlineLevel="0" collapsed="false">
      <c r="B15" s="23" t="str">
        <f aca="false">'Base Maringá'!B11</f>
        <v>APS CRUZEIRO DO OESTE</v>
      </c>
      <c r="C15" s="25" t="n">
        <f aca="false">'Base Maringá'!AO11</f>
        <v>1147.60124458576</v>
      </c>
      <c r="D15" s="25" t="n">
        <f aca="false">C15*3</f>
        <v>3442.80373375727</v>
      </c>
      <c r="E15" s="25" t="n">
        <f aca="false">C15+D15</f>
        <v>4590.40497834302</v>
      </c>
      <c r="F15" s="25" t="n">
        <f aca="false">C15*12</f>
        <v>13771.2149350291</v>
      </c>
      <c r="G15" s="25" t="n">
        <f aca="false">F15*3</f>
        <v>41313.6448050872</v>
      </c>
      <c r="H15" s="25" t="n">
        <f aca="false">F15+G15</f>
        <v>55084.8597401163</v>
      </c>
      <c r="I15" s="35" t="n">
        <f aca="false">F15/$E$7</f>
        <v>0.0346818840165722</v>
      </c>
    </row>
    <row r="16" customFormat="false" ht="16.5" hidden="false" customHeight="true" outlineLevel="0" collapsed="false">
      <c r="B16" s="23" t="str">
        <f aca="false">'Base Maringá'!B12</f>
        <v>APS LOANDA</v>
      </c>
      <c r="C16" s="25" t="n">
        <f aca="false">'Base Maringá'!AO12</f>
        <v>982.309000462656</v>
      </c>
      <c r="D16" s="25" t="n">
        <f aca="false">C16*3</f>
        <v>2946.92700138797</v>
      </c>
      <c r="E16" s="25" t="n">
        <f aca="false">C16+D16</f>
        <v>3929.23600185062</v>
      </c>
      <c r="F16" s="25" t="n">
        <f aca="false">C16*12</f>
        <v>11787.7080055519</v>
      </c>
      <c r="G16" s="25" t="n">
        <f aca="false">F16*3</f>
        <v>35363.1240166556</v>
      </c>
      <c r="H16" s="25" t="n">
        <f aca="false">F16+G16</f>
        <v>47150.8320222075</v>
      </c>
      <c r="I16" s="35" t="n">
        <f aca="false">F16/$E$7</f>
        <v>0.0296865544397159</v>
      </c>
    </row>
    <row r="17" customFormat="false" ht="16.5" hidden="false" customHeight="true" outlineLevel="0" collapsed="false">
      <c r="B17" s="23" t="str">
        <f aca="false">'Base Maringá'!B13</f>
        <v>APS MANDAGUARI</v>
      </c>
      <c r="C17" s="25" t="n">
        <f aca="false">'Base Maringá'!AO13</f>
        <v>893.60749557643</v>
      </c>
      <c r="D17" s="25" t="n">
        <f aca="false">C17*3</f>
        <v>2680.82248672929</v>
      </c>
      <c r="E17" s="25" t="n">
        <f aca="false">C17+D17</f>
        <v>3574.42998230572</v>
      </c>
      <c r="F17" s="25" t="n">
        <f aca="false">C17*12</f>
        <v>10723.2899469172</v>
      </c>
      <c r="G17" s="25" t="n">
        <f aca="false">F17*3</f>
        <v>32169.8698407515</v>
      </c>
      <c r="H17" s="25" t="n">
        <f aca="false">F17+G17</f>
        <v>42893.1597876686</v>
      </c>
      <c r="I17" s="35" t="n">
        <f aca="false">F17/$E$7</f>
        <v>0.0270058887301994</v>
      </c>
    </row>
    <row r="18" customFormat="false" ht="16.5" hidden="false" customHeight="true" outlineLevel="0" collapsed="false">
      <c r="B18" s="23" t="str">
        <f aca="false">'Base Maringá'!B14</f>
        <v>APS NOVA ESPERANÇA</v>
      </c>
      <c r="C18" s="25" t="n">
        <f aca="false">'Base Maringá'!AO14</f>
        <v>974.186191567557</v>
      </c>
      <c r="D18" s="25" t="n">
        <f aca="false">C18*3</f>
        <v>2922.55857470267</v>
      </c>
      <c r="E18" s="25" t="n">
        <f aca="false">C18+D18</f>
        <v>3896.74476627023</v>
      </c>
      <c r="F18" s="25" t="n">
        <f aca="false">C18*12</f>
        <v>11690.2342988107</v>
      </c>
      <c r="G18" s="25" t="n">
        <f aca="false">F18*3</f>
        <v>35070.7028964321</v>
      </c>
      <c r="H18" s="25" t="n">
        <f aca="false">F18+G18</f>
        <v>46760.9371952428</v>
      </c>
      <c r="I18" s="35" t="n">
        <f aca="false">F18/$E$7</f>
        <v>0.0294410734267615</v>
      </c>
    </row>
    <row r="19" customFormat="false" ht="16.5" hidden="false" customHeight="true" outlineLevel="0" collapsed="false">
      <c r="B19" s="23" t="str">
        <f aca="false">'Base Maringá'!B15</f>
        <v>APS PAIÇANDU</v>
      </c>
      <c r="C19" s="25" t="n">
        <f aca="false">'Base Maringá'!AO15</f>
        <v>968.07802527643</v>
      </c>
      <c r="D19" s="25" t="n">
        <f aca="false">C19*3</f>
        <v>2904.23407582929</v>
      </c>
      <c r="E19" s="25" t="n">
        <f aca="false">C19+D19</f>
        <v>3872.31210110572</v>
      </c>
      <c r="F19" s="25" t="n">
        <f aca="false">C19*12</f>
        <v>11616.9363033172</v>
      </c>
      <c r="G19" s="25" t="n">
        <f aca="false">F19*3</f>
        <v>34850.8089099515</v>
      </c>
      <c r="H19" s="25" t="n">
        <f aca="false">F19+G19</f>
        <v>46467.7452132686</v>
      </c>
      <c r="I19" s="35" t="n">
        <f aca="false">F19/$E$7</f>
        <v>0.0292564773261018</v>
      </c>
    </row>
    <row r="20" customFormat="false" ht="16.5" hidden="false" customHeight="true" outlineLevel="0" collapsed="false">
      <c r="B20" s="23" t="str">
        <f aca="false">'Base Maringá'!B16</f>
        <v>APS PARANAVAÍ</v>
      </c>
      <c r="C20" s="25" t="n">
        <f aca="false">'Base Maringá'!AO16</f>
        <v>1535.86285145922</v>
      </c>
      <c r="D20" s="25" t="n">
        <f aca="false">C20*3</f>
        <v>4607.58855437767</v>
      </c>
      <c r="E20" s="25" t="n">
        <f aca="false">C20+D20</f>
        <v>6143.45140583689</v>
      </c>
      <c r="F20" s="25" t="n">
        <f aca="false">C20*12</f>
        <v>18430.3542175107</v>
      </c>
      <c r="G20" s="25" t="n">
        <f aca="false">F20*3</f>
        <v>55291.062652532</v>
      </c>
      <c r="H20" s="25" t="n">
        <f aca="false">F20+G20</f>
        <v>73721.4168700427</v>
      </c>
      <c r="I20" s="35" t="n">
        <f aca="false">F20/$E$7</f>
        <v>0.0464156147712248</v>
      </c>
    </row>
    <row r="21" customFormat="false" ht="16.5" hidden="false" customHeight="true" outlineLevel="0" collapsed="false">
      <c r="B21" s="23" t="str">
        <f aca="false">'Base Maringá'!B17</f>
        <v>APS UMUARAMA</v>
      </c>
      <c r="C21" s="25" t="n">
        <f aca="false">'Base Maringá'!AO17</f>
        <v>2199.4782512833</v>
      </c>
      <c r="D21" s="25" t="n">
        <f aca="false">C21*3</f>
        <v>6598.43475384989</v>
      </c>
      <c r="E21" s="25" t="n">
        <f aca="false">C21+D21</f>
        <v>8797.91300513318</v>
      </c>
      <c r="F21" s="25" t="n">
        <f aca="false">C21*12</f>
        <v>26393.7390153995</v>
      </c>
      <c r="G21" s="25" t="n">
        <f aca="false">F21*3</f>
        <v>79181.2170461986</v>
      </c>
      <c r="H21" s="25" t="n">
        <f aca="false">F21+G21</f>
        <v>105574.956061598</v>
      </c>
      <c r="I21" s="35" t="n">
        <f aca="false">F21/$E$7</f>
        <v>0.0664708669216504</v>
      </c>
    </row>
    <row r="22" customFormat="false" ht="16.5" hidden="false" customHeight="true" outlineLevel="0" collapsed="false">
      <c r="B22" s="23" t="str">
        <f aca="false">'Base Maringá'!B18</f>
        <v>CEDOCPREV MARINGÁ</v>
      </c>
      <c r="C22" s="25" t="n">
        <f aca="false">'Base Maringá'!AO18</f>
        <v>1156.01450376857</v>
      </c>
      <c r="D22" s="25" t="n">
        <f aca="false">C22*3</f>
        <v>3468.04351130572</v>
      </c>
      <c r="E22" s="25" t="n">
        <f aca="false">C22+D22</f>
        <v>4624.05801507429</v>
      </c>
      <c r="F22" s="25" t="n">
        <f aca="false">C22*12</f>
        <v>13872.1740452229</v>
      </c>
      <c r="G22" s="25" t="n">
        <f aca="false">F22*3</f>
        <v>41616.5221356686</v>
      </c>
      <c r="H22" s="25" t="n">
        <f aca="false">F22+G22</f>
        <v>55488.6961808915</v>
      </c>
      <c r="I22" s="35" t="n">
        <f aca="false">F22/$E$7</f>
        <v>0.0349361427850742</v>
      </c>
    </row>
    <row r="23" customFormat="false" ht="16.5" hidden="false" customHeight="true" outlineLevel="0" collapsed="false">
      <c r="B23" s="23" t="str">
        <f aca="false">'Base Maringá'!B19</f>
        <v>GEX/APS MARINGÁ</v>
      </c>
      <c r="C23" s="25" t="n">
        <f aca="false">'Base Maringá'!AO19</f>
        <v>1874.89412834156</v>
      </c>
      <c r="D23" s="25" t="n">
        <f aca="false">C23*3</f>
        <v>5624.68238502468</v>
      </c>
      <c r="E23" s="25" t="n">
        <f aca="false">C23+D23</f>
        <v>7499.57651336624</v>
      </c>
      <c r="F23" s="25" t="n">
        <f aca="false">C23*12</f>
        <v>22498.7295400987</v>
      </c>
      <c r="G23" s="25" t="n">
        <f aca="false">F23*3</f>
        <v>67496.1886202962</v>
      </c>
      <c r="H23" s="25" t="n">
        <f aca="false">F23+G23</f>
        <v>89994.9181603949</v>
      </c>
      <c r="I23" s="35" t="n">
        <f aca="false">F23/$E$7</f>
        <v>0.0566615459936747</v>
      </c>
    </row>
    <row r="24" customFormat="false" ht="22.5" hidden="false" customHeight="true" outlineLevel="0" collapsed="false">
      <c r="B24" s="36" t="str">
        <f aca="false">"Total Base "&amp;B5</f>
        <v>Total Base MARINGÁ</v>
      </c>
      <c r="C24" s="36" t="n">
        <f aca="false">SUM(C11:C23)</f>
        <v>16724.2743941667</v>
      </c>
      <c r="D24" s="36" t="n">
        <f aca="false">SUM(D11:D23)</f>
        <v>50172.8231825001</v>
      </c>
      <c r="E24" s="36" t="n">
        <f aca="false">SUM(E11:E23)</f>
        <v>66897.0975766668</v>
      </c>
      <c r="F24" s="36" t="n">
        <f aca="false">SUM(F11:F23)</f>
        <v>200691.29273</v>
      </c>
      <c r="G24" s="36" t="n">
        <f aca="false">SUM(G11:G23)</f>
        <v>602073.878190001</v>
      </c>
      <c r="H24" s="36" t="n">
        <f aca="false">SUM(H11:H23)</f>
        <v>802765.170920002</v>
      </c>
      <c r="I24" s="37" t="n">
        <f aca="false">SUM(I11:I23)</f>
        <v>0.505427601735643</v>
      </c>
    </row>
    <row r="25" customFormat="false" ht="22.5" hidden="false" customHeight="true" outlineLevel="0" collapsed="false">
      <c r="B25" s="38"/>
      <c r="C25" s="38"/>
      <c r="D25" s="38"/>
      <c r="E25" s="38"/>
      <c r="F25" s="38"/>
      <c r="G25" s="38"/>
      <c r="H25" s="38"/>
      <c r="I25" s="39"/>
    </row>
    <row r="26" s="29" customFormat="true" ht="27.75" hidden="false" customHeight="true" outlineLevel="0" collapsed="false">
      <c r="B26" s="30" t="str">
        <f aca="false">"BASE "&amp;B6</f>
        <v>BASE CASCAVEL</v>
      </c>
      <c r="C26" s="31" t="s">
        <v>23</v>
      </c>
      <c r="D26" s="31"/>
      <c r="E26" s="31"/>
      <c r="F26" s="31" t="s">
        <v>24</v>
      </c>
      <c r="G26" s="31"/>
      <c r="H26" s="31"/>
      <c r="I26" s="30" t="s">
        <v>25</v>
      </c>
      <c r="IP26" s="32"/>
    </row>
    <row r="27" s="29" customFormat="true" ht="22.5" hidden="false" customHeight="true" outlineLevel="0" collapsed="false">
      <c r="B27" s="30"/>
      <c r="C27" s="33" t="s">
        <v>26</v>
      </c>
      <c r="D27" s="33" t="s">
        <v>27</v>
      </c>
      <c r="E27" s="33" t="s">
        <v>28</v>
      </c>
      <c r="F27" s="34" t="s">
        <v>26</v>
      </c>
      <c r="G27" s="34" t="s">
        <v>27</v>
      </c>
      <c r="H27" s="34" t="s">
        <v>28</v>
      </c>
      <c r="I27" s="34" t="s">
        <v>29</v>
      </c>
      <c r="IP27" s="32"/>
    </row>
    <row r="28" customFormat="false" ht="16.5" hidden="false" customHeight="true" outlineLevel="0" collapsed="false">
      <c r="B28" s="23" t="str">
        <f aca="false">'Base Cascavel'!B7</f>
        <v>APS GOIOERÊ</v>
      </c>
      <c r="C28" s="25" t="n">
        <f aca="false">'Base Cascavel'!AO7</f>
        <v>1363.1114776324</v>
      </c>
      <c r="D28" s="25" t="n">
        <f aca="false">C28*3</f>
        <v>4089.33443289721</v>
      </c>
      <c r="E28" s="25" t="n">
        <f aca="false">C28+D28</f>
        <v>5452.44591052962</v>
      </c>
      <c r="F28" s="25" t="n">
        <f aca="false">C28*12</f>
        <v>16357.3377315889</v>
      </c>
      <c r="G28" s="25" t="n">
        <f aca="false">F28*3</f>
        <v>49072.0131947666</v>
      </c>
      <c r="H28" s="25" t="n">
        <f aca="false">F28+G28</f>
        <v>65429.3509263554</v>
      </c>
      <c r="I28" s="35" t="n">
        <f aca="false">F28/$E$7</f>
        <v>0.0411948613614218</v>
      </c>
    </row>
    <row r="29" customFormat="false" ht="16.5" hidden="false" customHeight="true" outlineLevel="0" collapsed="false">
      <c r="B29" s="23" t="str">
        <f aca="false">'Base Cascavel'!B8</f>
        <v>GEX CASCAVEL</v>
      </c>
      <c r="C29" s="25" t="n">
        <f aca="false">'Base Cascavel'!AO8</f>
        <v>943.88192498965</v>
      </c>
      <c r="D29" s="25" t="n">
        <f aca="false">C29*3</f>
        <v>2831.64577496895</v>
      </c>
      <c r="E29" s="25" t="n">
        <f aca="false">C29+D29</f>
        <v>3775.5276999586</v>
      </c>
      <c r="F29" s="25" t="n">
        <f aca="false">C29*12</f>
        <v>11326.5830998758</v>
      </c>
      <c r="G29" s="25" t="n">
        <f aca="false">F29*3</f>
        <v>33979.7492996274</v>
      </c>
      <c r="H29" s="25" t="n">
        <f aca="false">F29+G29</f>
        <v>45306.3323995032</v>
      </c>
      <c r="I29" s="35" t="n">
        <f aca="false">F29/$E$7</f>
        <v>0.0285252421973857</v>
      </c>
    </row>
    <row r="30" customFormat="false" ht="16.5" hidden="false" customHeight="true" outlineLevel="0" collapsed="false">
      <c r="B30" s="23" t="str">
        <f aca="false">'Base Cascavel'!B9</f>
        <v>APS CASCAVEL</v>
      </c>
      <c r="C30" s="25" t="n">
        <f aca="false">'Base Cascavel'!AO9</f>
        <v>2250.79299254156</v>
      </c>
      <c r="D30" s="25" t="n">
        <f aca="false">C30*3</f>
        <v>6752.37897762468</v>
      </c>
      <c r="E30" s="25" t="n">
        <f aca="false">C30+D30</f>
        <v>9003.17197016624</v>
      </c>
      <c r="F30" s="25" t="n">
        <f aca="false">C30*12</f>
        <v>27009.5159104987</v>
      </c>
      <c r="G30" s="25" t="n">
        <f aca="false">F30*3</f>
        <v>81028.5477314962</v>
      </c>
      <c r="H30" s="25" t="n">
        <f aca="false">F30+G30</f>
        <v>108038.063641995</v>
      </c>
      <c r="I30" s="35" t="n">
        <f aca="false">F30/$E$7</f>
        <v>0.0680216598587058</v>
      </c>
    </row>
    <row r="31" customFormat="false" ht="16.5" hidden="false" customHeight="true" outlineLevel="0" collapsed="false">
      <c r="B31" s="23" t="str">
        <f aca="false">'Base Cascavel'!B10</f>
        <v>APS TOLEDO</v>
      </c>
      <c r="C31" s="25" t="n">
        <f aca="false">'Base Cascavel'!AO10</f>
        <v>1534.11224508227</v>
      </c>
      <c r="D31" s="25" t="n">
        <f aca="false">C31*3</f>
        <v>4602.33673524682</v>
      </c>
      <c r="E31" s="25" t="n">
        <f aca="false">C31+D31</f>
        <v>6136.44898032909</v>
      </c>
      <c r="F31" s="25" t="n">
        <f aca="false">C31*12</f>
        <v>18409.3469409873</v>
      </c>
      <c r="G31" s="25" t="n">
        <f aca="false">F31*3</f>
        <v>55228.0408229618</v>
      </c>
      <c r="H31" s="25" t="n">
        <f aca="false">F31+G31</f>
        <v>73637.3877639491</v>
      </c>
      <c r="I31" s="35" t="n">
        <f aca="false">F31/$E$7</f>
        <v>0.0463627093499293</v>
      </c>
    </row>
    <row r="32" customFormat="false" ht="16.5" hidden="false" customHeight="true" outlineLevel="0" collapsed="false">
      <c r="B32" s="23" t="str">
        <f aca="false">'Base Cascavel'!B11</f>
        <v>APS MARECHAL CÂNDIDO RONDON</v>
      </c>
      <c r="C32" s="25" t="n">
        <f aca="false">'Base Cascavel'!AO11</f>
        <v>965.55914723839</v>
      </c>
      <c r="D32" s="25" t="n">
        <f aca="false">C32*3</f>
        <v>2896.67744171517</v>
      </c>
      <c r="E32" s="25" t="n">
        <f aca="false">C32+D32</f>
        <v>3862.23658895356</v>
      </c>
      <c r="F32" s="25" t="n">
        <f aca="false">C32*12</f>
        <v>11586.7097668607</v>
      </c>
      <c r="G32" s="25" t="n">
        <f aca="false">F32*3</f>
        <v>34760.1293005821</v>
      </c>
      <c r="H32" s="25" t="n">
        <f aca="false">F32+G32</f>
        <v>46346.8390674427</v>
      </c>
      <c r="I32" s="35" t="n">
        <f aca="false">F32/$E$7</f>
        <v>0.0291803538151006</v>
      </c>
    </row>
    <row r="33" customFormat="false" ht="16.5" hidden="false" customHeight="true" outlineLevel="0" collapsed="false">
      <c r="B33" s="23" t="str">
        <f aca="false">'Base Cascavel'!B12</f>
        <v>APS ASSIS CHATEAUBRIAND</v>
      </c>
      <c r="C33" s="25" t="n">
        <f aca="false">'Base Cascavel'!AO12</f>
        <v>1084.25009967643</v>
      </c>
      <c r="D33" s="25" t="n">
        <f aca="false">C33*3</f>
        <v>3252.75029902929</v>
      </c>
      <c r="E33" s="25" t="n">
        <f aca="false">C33+D33</f>
        <v>4337.00039870572</v>
      </c>
      <c r="F33" s="25" t="n">
        <f aca="false">C33*12</f>
        <v>13011.0011961172</v>
      </c>
      <c r="G33" s="25" t="n">
        <f aca="false">F33*3</f>
        <v>39033.0035883515</v>
      </c>
      <c r="H33" s="25" t="n">
        <f aca="false">F33+G33</f>
        <v>52044.0047844686</v>
      </c>
      <c r="I33" s="35" t="n">
        <f aca="false">F33/$E$7</f>
        <v>0.0327673365459868</v>
      </c>
    </row>
    <row r="34" customFormat="false" ht="16.5" hidden="false" customHeight="true" outlineLevel="0" collapsed="false">
      <c r="B34" s="23" t="str">
        <f aca="false">'Base Cascavel'!B13</f>
        <v>APS PALOTINA</v>
      </c>
      <c r="C34" s="25" t="n">
        <f aca="false">'Base Cascavel'!AO13</f>
        <v>1102.83422187643</v>
      </c>
      <c r="D34" s="25" t="n">
        <f aca="false">C34*3</f>
        <v>3308.50266562929</v>
      </c>
      <c r="E34" s="25" t="n">
        <f aca="false">C34+D34</f>
        <v>4411.33688750572</v>
      </c>
      <c r="F34" s="25" t="n">
        <f aca="false">C34*12</f>
        <v>13234.0106625172</v>
      </c>
      <c r="G34" s="25" t="n">
        <f aca="false">F34*3</f>
        <v>39702.0319875515</v>
      </c>
      <c r="H34" s="25" t="n">
        <f aca="false">F34+G34</f>
        <v>52936.0426500686</v>
      </c>
      <c r="I34" s="35" t="n">
        <f aca="false">F34/$E$7</f>
        <v>0.0333289709758299</v>
      </c>
    </row>
    <row r="35" customFormat="false" ht="16.5" hidden="false" customHeight="true" outlineLevel="0" collapsed="false">
      <c r="B35" s="23" t="str">
        <f aca="false">'Base Cascavel'!B14</f>
        <v>APS GUAÍRA</v>
      </c>
      <c r="C35" s="25" t="n">
        <f aca="false">'Base Cascavel'!AO14</f>
        <v>1114.70705266076</v>
      </c>
      <c r="D35" s="25" t="n">
        <f aca="false">C35*3</f>
        <v>3344.12115798227</v>
      </c>
      <c r="E35" s="25" t="n">
        <f aca="false">C35+D35</f>
        <v>4458.82821064302</v>
      </c>
      <c r="F35" s="25" t="n">
        <f aca="false">C35*12</f>
        <v>13376.4846319291</v>
      </c>
      <c r="G35" s="25" t="n">
        <f aca="false">F35*3</f>
        <v>40129.4538957872</v>
      </c>
      <c r="H35" s="25" t="n">
        <f aca="false">F35+G35</f>
        <v>53505.9385277163</v>
      </c>
      <c r="I35" s="35" t="n">
        <f aca="false">F35/$E$7</f>
        <v>0.0336877821414269</v>
      </c>
    </row>
    <row r="36" customFormat="false" ht="16.5" hidden="false" customHeight="true" outlineLevel="0" collapsed="false">
      <c r="B36" s="23" t="str">
        <f aca="false">'Base Cascavel'!B15</f>
        <v>APS MEDIANEIRA</v>
      </c>
      <c r="C36" s="25" t="n">
        <f aca="false">'Base Cascavel'!AO15</f>
        <v>1261.21890286857</v>
      </c>
      <c r="D36" s="25" t="n">
        <f aca="false">C36*3</f>
        <v>3783.65670860572</v>
      </c>
      <c r="E36" s="25" t="n">
        <f aca="false">C36+D36</f>
        <v>5044.87561147429</v>
      </c>
      <c r="F36" s="25" t="n">
        <f aca="false">C36*12</f>
        <v>15134.6268344229</v>
      </c>
      <c r="G36" s="25" t="n">
        <f aca="false">F36*3</f>
        <v>45403.8805032686</v>
      </c>
      <c r="H36" s="25" t="n">
        <f aca="false">F36+G36</f>
        <v>60538.5073376915</v>
      </c>
      <c r="I36" s="35" t="n">
        <f aca="false">F36/$E$7</f>
        <v>0.0381155457221427</v>
      </c>
    </row>
    <row r="37" customFormat="false" ht="16.5" hidden="false" customHeight="true" outlineLevel="0" collapsed="false">
      <c r="B37" s="23" t="str">
        <f aca="false">'Base Cascavel'!B16</f>
        <v>APS SÃO MIGUEL DO IGUAÇU</v>
      </c>
      <c r="C37" s="25" t="n">
        <f aca="false">'Base Cascavel'!AO16</f>
        <v>998.81189467643</v>
      </c>
      <c r="D37" s="25" t="n">
        <f aca="false">C37*3</f>
        <v>2996.43568402929</v>
      </c>
      <c r="E37" s="25" t="n">
        <f aca="false">C37+D37</f>
        <v>3995.24757870572</v>
      </c>
      <c r="F37" s="25" t="n">
        <f aca="false">C37*12</f>
        <v>11985.7427361172</v>
      </c>
      <c r="G37" s="25" t="n">
        <f aca="false">F37*3</f>
        <v>35957.2282083515</v>
      </c>
      <c r="H37" s="25" t="n">
        <f aca="false">F37+G37</f>
        <v>47942.9709444686</v>
      </c>
      <c r="I37" s="35" t="n">
        <f aca="false">F37/$E$7</f>
        <v>0.0301852916672678</v>
      </c>
    </row>
    <row r="38" customFormat="false" ht="16.5" hidden="false" customHeight="true" outlineLevel="0" collapsed="false">
      <c r="B38" s="23" t="str">
        <f aca="false">'Base Cascavel'!B17</f>
        <v>APS FOZ DO IGUAÇU</v>
      </c>
      <c r="C38" s="25" t="n">
        <f aca="false">'Base Cascavel'!AO17</f>
        <v>2473.38450672056</v>
      </c>
      <c r="D38" s="25" t="n">
        <f aca="false">C38*3</f>
        <v>7420.15352016168</v>
      </c>
      <c r="E38" s="25" t="n">
        <f aca="false">C38+D38</f>
        <v>9893.53802688224</v>
      </c>
      <c r="F38" s="25" t="n">
        <f aca="false">C38*12</f>
        <v>29680.6140806467</v>
      </c>
      <c r="G38" s="25" t="n">
        <f aca="false">F38*3</f>
        <v>89041.8422419402</v>
      </c>
      <c r="H38" s="25" t="n">
        <f aca="false">F38+G38</f>
        <v>118722.456322587</v>
      </c>
      <c r="I38" s="35" t="n">
        <f aca="false">F38/$E$7</f>
        <v>0.0747486420001515</v>
      </c>
    </row>
    <row r="39" customFormat="false" ht="16.5" hidden="false" customHeight="true" outlineLevel="0" collapsed="false">
      <c r="B39" s="23" t="str">
        <f aca="false">'Base Cascavel'!B18</f>
        <v>APS QUEDAS DO IGUAÇU</v>
      </c>
      <c r="C39" s="25" t="n">
        <f aca="false">'Base Cascavel'!AO18</f>
        <v>1272.41822431756</v>
      </c>
      <c r="D39" s="25" t="n">
        <f aca="false">C39*3</f>
        <v>3817.25467295267</v>
      </c>
      <c r="E39" s="25" t="n">
        <f aca="false">C39+D39</f>
        <v>5089.67289727023</v>
      </c>
      <c r="F39" s="25" t="n">
        <f aca="false">C39*12</f>
        <v>15269.0186918107</v>
      </c>
      <c r="G39" s="25" t="n">
        <f aca="false">F39*3</f>
        <v>45807.0560754321</v>
      </c>
      <c r="H39" s="25" t="n">
        <f aca="false">F39+G39</f>
        <v>61076.0747672427</v>
      </c>
      <c r="I39" s="35" t="n">
        <f aca="false">F39/$E$7</f>
        <v>0.0384540026290086</v>
      </c>
    </row>
    <row r="40" customFormat="false" ht="22.5" hidden="false" customHeight="true" outlineLevel="0" collapsed="false">
      <c r="B40" s="36" t="str">
        <f aca="false">"Total Base "&amp;B6</f>
        <v>Total Base CASCAVEL</v>
      </c>
      <c r="C40" s="36" t="n">
        <f aca="false">SUM(C28:C39)</f>
        <v>16365.082690281</v>
      </c>
      <c r="D40" s="36" t="n">
        <f aca="false">SUM(D28:D39)</f>
        <v>49095.248070843</v>
      </c>
      <c r="E40" s="36" t="n">
        <f aca="false">SUM(E28:E39)</f>
        <v>65460.3307611241</v>
      </c>
      <c r="F40" s="36" t="n">
        <f aca="false">SUM(F28:F39)</f>
        <v>196380.992283372</v>
      </c>
      <c r="G40" s="36" t="n">
        <f aca="false">SUM(G28:G39)</f>
        <v>589142.976850117</v>
      </c>
      <c r="H40" s="36" t="n">
        <f aca="false">SUM(H28:H39)</f>
        <v>785523.969133489</v>
      </c>
      <c r="I40" s="37" t="n">
        <f aca="false">SUM(I28:I39)</f>
        <v>0.494572398264357</v>
      </c>
    </row>
    <row r="41" customFormat="false" ht="22.5" hidden="false" customHeight="true" outlineLevel="0" collapsed="false">
      <c r="B41" s="40"/>
      <c r="C41" s="38"/>
      <c r="D41" s="38"/>
      <c r="E41" s="38"/>
      <c r="F41" s="38"/>
      <c r="G41" s="38"/>
      <c r="H41" s="38"/>
      <c r="I41" s="39"/>
    </row>
  </sheetData>
  <mergeCells count="7">
    <mergeCell ref="B2:I2"/>
    <mergeCell ref="B9:B10"/>
    <mergeCell ref="C9:E9"/>
    <mergeCell ref="F9:H9"/>
    <mergeCell ref="B26:B27"/>
    <mergeCell ref="C26:E26"/>
    <mergeCell ref="F26:H26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4" activeCellId="0" sqref="D4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21.62"/>
    <col collapsed="false" customWidth="true" hidden="false" outlineLevel="0" max="5" min="3" style="1" width="14.62"/>
    <col collapsed="false" customWidth="true" hidden="false" outlineLevel="0" max="6" min="6" style="1" width="13.5"/>
    <col collapsed="false" customWidth="true" hidden="false" outlineLevel="0" max="7" min="7" style="1" width="12.5"/>
    <col collapsed="false" customWidth="true" hidden="false" outlineLevel="0" max="257" min="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1" t="str">
        <f aca="false">"CÁLCULO DO CUSTO DA EQUIPE TÉCNICA PARA O "&amp;'Valor da Contratação'!B7&amp;""</f>
        <v>CÁLCULO DO CUSTO DA EQUIPE TÉCNICA PARA O POLO I</v>
      </c>
      <c r="C2" s="41"/>
      <c r="D2" s="41"/>
      <c r="E2" s="41"/>
    </row>
    <row r="3" customFormat="false" ht="15" hidden="false" customHeight="true" outlineLevel="0" collapsed="false">
      <c r="B3" s="42"/>
      <c r="C3" s="42"/>
      <c r="D3" s="42"/>
      <c r="E3" s="42"/>
    </row>
    <row r="4" customFormat="false" ht="45.75" hidden="false" customHeight="true" outlineLevel="0" collapsed="false">
      <c r="B4" s="43" t="s">
        <v>30</v>
      </c>
      <c r="C4" s="44" t="s">
        <v>31</v>
      </c>
      <c r="D4" s="45" t="s">
        <v>32</v>
      </c>
      <c r="E4" s="44" t="s">
        <v>33</v>
      </c>
    </row>
    <row r="5" customFormat="false" ht="19.5" hidden="false" customHeight="true" outlineLevel="0" collapsed="false">
      <c r="B5" s="43"/>
      <c r="C5" s="46" t="n">
        <v>127.29</v>
      </c>
      <c r="D5" s="46" t="n">
        <f aca="false">'Comp. Eng. Eletricista'!D11</f>
        <v>127.8325</v>
      </c>
      <c r="E5" s="46" t="n">
        <v>41.41</v>
      </c>
    </row>
    <row r="6" customFormat="false" ht="19.5" hidden="false" customHeight="true" outlineLevel="0" collapsed="false">
      <c r="B6" s="47" t="s">
        <v>34</v>
      </c>
      <c r="C6" s="48" t="n">
        <v>80</v>
      </c>
      <c r="D6" s="48" t="n">
        <v>16</v>
      </c>
      <c r="E6" s="48" t="n">
        <v>80</v>
      </c>
    </row>
    <row r="7" customFormat="false" ht="19.5" hidden="false" customHeight="true" outlineLevel="0" collapsed="false">
      <c r="B7" s="47" t="s">
        <v>35</v>
      </c>
      <c r="C7" s="46" t="n">
        <f aca="false">C5*C6</f>
        <v>10183.2</v>
      </c>
      <c r="D7" s="46" t="n">
        <f aca="false">D5*D6</f>
        <v>2045.32</v>
      </c>
      <c r="E7" s="46" t="n">
        <f aca="false">E5*E6</f>
        <v>3312.8</v>
      </c>
    </row>
    <row r="8" customFormat="false" ht="19.5" hidden="false" customHeight="true" outlineLevel="0" collapsed="false">
      <c r="B8" s="47" t="s">
        <v>36</v>
      </c>
      <c r="C8" s="46" t="n">
        <f aca="false">C5*C6*12</f>
        <v>122198.4</v>
      </c>
      <c r="D8" s="46" t="n">
        <f aca="false">D5*D6*12</f>
        <v>24543.84</v>
      </c>
      <c r="E8" s="46" t="n">
        <f aca="false">E5*E6*12</f>
        <v>39753.6</v>
      </c>
    </row>
    <row r="9" customFormat="false" ht="19.5" hidden="false" customHeight="true" outlineLevel="0" collapsed="false">
      <c r="B9" s="49" t="s">
        <v>37</v>
      </c>
      <c r="C9" s="50"/>
      <c r="D9" s="50"/>
      <c r="E9" s="50"/>
    </row>
    <row r="10" customFormat="false" ht="19.5" hidden="false" customHeight="true" outlineLevel="0" collapsed="false">
      <c r="C10" s="50"/>
      <c r="D10" s="50"/>
      <c r="E10" s="50"/>
    </row>
    <row r="11" customFormat="false" ht="19.5" hidden="false" customHeight="true" outlineLevel="0" collapsed="false">
      <c r="B11" s="43" t="s">
        <v>38</v>
      </c>
      <c r="C11" s="43"/>
      <c r="E11" s="50"/>
    </row>
    <row r="12" customFormat="false" ht="19.5" hidden="false" customHeight="true" outlineLevel="0" collapsed="false">
      <c r="B12" s="47" t="s">
        <v>39</v>
      </c>
      <c r="C12" s="46" t="n">
        <f aca="false">SUM(C7:E7)</f>
        <v>15541.32</v>
      </c>
      <c r="E12" s="50"/>
    </row>
    <row r="13" customFormat="false" ht="19.5" hidden="false" customHeight="true" outlineLevel="0" collapsed="false">
      <c r="B13" s="47" t="s">
        <v>40</v>
      </c>
      <c r="C13" s="46" t="n">
        <f aca="false">SUM(C8:E8)</f>
        <v>186495.84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5"/>
  <sheetViews>
    <sheetView showFormulas="false" showGridLines="false" showRowColHeaders="true" showZeros="true" rightToLeft="false" tabSelected="false" showOutlineSymbols="true" defaultGridColor="true" view="normal" topLeftCell="B13" colorId="64" zoomScale="95" zoomScaleNormal="95" zoomScalePageLayoutView="100" workbookViewId="0">
      <selection pane="topLeft" activeCell="V7" activeCellId="0" sqref="V7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8.38"/>
    <col collapsed="false" customWidth="true" hidden="false" outlineLevel="0" max="17" min="17" style="17" width="33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"/>
    <col collapsed="false" customWidth="true" hidden="false" outlineLevel="0" max="36" min="36" style="17" width="10.62"/>
    <col collapsed="false" customWidth="true" hidden="false" outlineLevel="0" max="40" min="37" style="17" width="11.75"/>
    <col collapsed="false" customWidth="true" hidden="false" outlineLevel="0" max="42" min="41" style="17" width="11.38"/>
    <col collapsed="false" customWidth="true" hidden="false" outlineLevel="0" max="43" min="43" style="17" width="12.88"/>
    <col collapsed="false" customWidth="true" hidden="false" outlineLevel="0" max="44" min="44" style="17" width="3.38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256" min="50" style="17" width="10.62"/>
    <col collapsed="false" customWidth="true" hidden="false" outlineLevel="0" max="1024" min="1013" style="0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"&amp;Resumo!B5&amp;" - PLANILHA DE FORMAÇÃO DE PREÇOS"</f>
        <v>BASE MARINGÁ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1" t="str">
        <f aca="false">"BASE "&amp;Resumo!B5&amp;" – PLANILHA DE DISTRIBUIÇÃO DE CUSTOS POR UNIDADE"</f>
        <v>BASE MARINGÁ – PLANILHA DE DISTRIBUIÇÃO DE CUSTOS POR UNIDADE</v>
      </c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54"/>
      <c r="AI2" s="55" t="str">
        <f aca="false">"BASE "&amp;Resumo!B5&amp;" – PLANILHA RESUMO DE CUSTOS DA BASE"</f>
        <v>BASE MARINGÁ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</row>
    <row r="4" s="32" customFormat="true" ht="19.5" hidden="false" customHeight="true" outlineLevel="0" collapsed="false">
      <c r="B4" s="44" t="s">
        <v>41</v>
      </c>
      <c r="C4" s="44" t="s">
        <v>42</v>
      </c>
      <c r="D4" s="44"/>
      <c r="E4" s="44"/>
      <c r="F4" s="44"/>
      <c r="G4" s="44"/>
      <c r="H4" s="44" t="s">
        <v>43</v>
      </c>
      <c r="I4" s="44"/>
      <c r="J4" s="44"/>
      <c r="K4" s="44"/>
      <c r="L4" s="44"/>
      <c r="M4" s="44"/>
      <c r="N4" s="44"/>
      <c r="O4" s="44" t="s">
        <v>28</v>
      </c>
      <c r="P4" s="53"/>
      <c r="Q4" s="44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I4" s="44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"&amp;Resumo!B5</f>
        <v>Resumo de Custos da Base MARINGÁ</v>
      </c>
      <c r="AT4" s="57"/>
      <c r="AU4" s="57"/>
      <c r="AV4" s="57"/>
      <c r="AW4" s="57"/>
    </row>
    <row r="5" customFormat="false" ht="39.75" hidden="false" customHeight="true" outlineLevel="0" collapsed="false">
      <c r="B5" s="44"/>
      <c r="C5" s="44" t="s">
        <v>28</v>
      </c>
      <c r="D5" s="44" t="s">
        <v>51</v>
      </c>
      <c r="E5" s="44" t="s">
        <v>52</v>
      </c>
      <c r="F5" s="44" t="s">
        <v>53</v>
      </c>
      <c r="G5" s="44" t="s">
        <v>54</v>
      </c>
      <c r="H5" s="44" t="s">
        <v>55</v>
      </c>
      <c r="I5" s="44" t="s">
        <v>56</v>
      </c>
      <c r="J5" s="44" t="s">
        <v>57</v>
      </c>
      <c r="K5" s="44" t="s">
        <v>58</v>
      </c>
      <c r="L5" s="44" t="s">
        <v>59</v>
      </c>
      <c r="M5" s="44" t="s">
        <v>60</v>
      </c>
      <c r="N5" s="44" t="s">
        <v>61</v>
      </c>
      <c r="O5" s="44"/>
      <c r="P5" s="53"/>
      <c r="Q5" s="44"/>
      <c r="R5" s="44" t="s">
        <v>62</v>
      </c>
      <c r="S5" s="44" t="s">
        <v>63</v>
      </c>
      <c r="T5" s="44" t="s">
        <v>64</v>
      </c>
      <c r="U5" s="44" t="s">
        <v>65</v>
      </c>
      <c r="V5" s="44" t="s">
        <v>66</v>
      </c>
      <c r="W5" s="44" t="s">
        <v>67</v>
      </c>
      <c r="X5" s="44" t="s">
        <v>68</v>
      </c>
      <c r="Y5" s="44" t="s">
        <v>69</v>
      </c>
      <c r="Z5" s="44" t="s">
        <v>70</v>
      </c>
      <c r="AA5" s="44"/>
      <c r="AB5" s="44"/>
      <c r="AC5" s="44" t="n">
        <f aca="false">N20+'Base Cascavel'!N19</f>
        <v>1010.6</v>
      </c>
      <c r="AD5" s="56" t="s">
        <v>62</v>
      </c>
      <c r="AE5" s="56" t="s">
        <v>63</v>
      </c>
      <c r="AF5" s="56" t="s">
        <v>64</v>
      </c>
      <c r="AG5" s="56" t="s">
        <v>65</v>
      </c>
      <c r="AI5" s="44"/>
      <c r="AJ5" s="56" t="s">
        <v>71</v>
      </c>
      <c r="AK5" s="56" t="s">
        <v>62</v>
      </c>
      <c r="AL5" s="56" t="s">
        <v>63</v>
      </c>
      <c r="AM5" s="56" t="s">
        <v>64</v>
      </c>
      <c r="AN5" s="56" t="s">
        <v>65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62</v>
      </c>
      <c r="AU5" s="56" t="s">
        <v>63</v>
      </c>
      <c r="AV5" s="56" t="s">
        <v>64</v>
      </c>
      <c r="AW5" s="56" t="s">
        <v>65</v>
      </c>
    </row>
    <row r="6" customFormat="false" ht="19.5" hidden="false" customHeight="true" outlineLevel="0" collapsed="false">
      <c r="B6" s="44"/>
      <c r="C6" s="59" t="s">
        <v>76</v>
      </c>
      <c r="D6" s="59" t="n">
        <v>1</v>
      </c>
      <c r="E6" s="59" t="n">
        <v>0.35</v>
      </c>
      <c r="F6" s="59" t="n">
        <v>0.1</v>
      </c>
      <c r="G6" s="44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4"/>
      <c r="O6" s="44"/>
      <c r="P6" s="60"/>
      <c r="Q6" s="44"/>
      <c r="R6" s="59" t="s">
        <v>77</v>
      </c>
      <c r="S6" s="59" t="s">
        <v>78</v>
      </c>
      <c r="T6" s="59" t="s">
        <v>79</v>
      </c>
      <c r="U6" s="59" t="s">
        <v>80</v>
      </c>
      <c r="V6" s="44"/>
      <c r="W6" s="44"/>
      <c r="X6" s="44"/>
      <c r="Y6" s="44"/>
      <c r="Z6" s="34" t="s">
        <v>62</v>
      </c>
      <c r="AA6" s="34" t="s">
        <v>63</v>
      </c>
      <c r="AB6" s="34" t="s">
        <v>64</v>
      </c>
      <c r="AC6" s="34" t="s">
        <v>65</v>
      </c>
      <c r="AD6" s="56"/>
      <c r="AE6" s="56"/>
      <c r="AF6" s="56"/>
      <c r="AG6" s="56"/>
      <c r="AI6" s="44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4" t="s">
        <v>77</v>
      </c>
      <c r="AU6" s="34" t="s">
        <v>78</v>
      </c>
      <c r="AV6" s="34" t="s">
        <v>79</v>
      </c>
      <c r="AW6" s="34" t="s">
        <v>80</v>
      </c>
    </row>
    <row r="7" s="1" customFormat="true" ht="15" hidden="false" customHeight="true" outlineLevel="0" collapsed="false">
      <c r="B7" s="62" t="s">
        <v>81</v>
      </c>
      <c r="C7" s="63" t="n">
        <f aca="false">VLOOKUP($B7,Unidades!$D$5:$N$29,6,FALSE())</f>
        <v>334.4</v>
      </c>
      <c r="D7" s="63" t="n">
        <f aca="false">VLOOKUP($B7,Unidades!$D$5:$N$29,7,FALSE())</f>
        <v>296</v>
      </c>
      <c r="E7" s="63" t="n">
        <f aca="false">VLOOKUP($B7,Unidades!$D$5:$N$29,8,FALSE())</f>
        <v>38.4</v>
      </c>
      <c r="F7" s="63" t="n">
        <f aca="false">VLOOKUP($B7,Unidades!$D$5:$N$29,9,FALSE())</f>
        <v>0</v>
      </c>
      <c r="G7" s="63" t="n">
        <f aca="false">D7+E7*$E$6+F7*$F$6</f>
        <v>309.44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VLOOKUP($B7,Unidades!$D$5:$N$29,10,FALSE())</f>
        <v>NÃO</v>
      </c>
      <c r="K7" s="64" t="str">
        <f aca="false">VLOOKUP($B7,Unidades!$D$5:$N$29,11,FALSE())</f>
        <v>NÃO</v>
      </c>
      <c r="L7" s="64" t="n">
        <f aca="false">$L$6*H7+(IF(J7="SIM",$J$6,0))</f>
        <v>1.65</v>
      </c>
      <c r="M7" s="64" t="n">
        <f aca="false">$M$6*H7+(IF(J7="SIM",$J$6,0))+(IF(K7="SIM",$K$6,0))</f>
        <v>1.65</v>
      </c>
      <c r="N7" s="64" t="n">
        <f aca="false">H7*12+I7*4+L7*2+M7</f>
        <v>30.15</v>
      </c>
      <c r="O7" s="65" t="n">
        <f aca="false">IF(K7="não", N7*(C$23+D$23),N7*(C$23+D$23)+(M7*+E$23))</f>
        <v>1873.2195</v>
      </c>
      <c r="P7" s="66"/>
      <c r="Q7" s="23" t="str">
        <f aca="false">B7</f>
        <v>APS ASTORGA</v>
      </c>
      <c r="R7" s="25" t="n">
        <f aca="false">H7*($C$23+$D$23)</f>
        <v>93.195</v>
      </c>
      <c r="S7" s="25" t="n">
        <f aca="false">I7*($C$23+$D$23)</f>
        <v>111.834</v>
      </c>
      <c r="T7" s="25" t="n">
        <f aca="false">L7*($C$23+$D$23)</f>
        <v>102.5145</v>
      </c>
      <c r="U7" s="25" t="n">
        <f aca="false">IF(K7="não",M7*($C$23+$D$23),M7*(C$23+D$23+E$23))</f>
        <v>102.5145</v>
      </c>
      <c r="V7" s="25" t="n">
        <f aca="false">VLOOKUP(Q7,'Desl. Base Maringá'!$C$5:$S$17,13,FALSE())*($C$23+$D$23+$E$23*(VLOOKUP(Q7,'Desl. Base Maringá'!$C$5:$S$17,17,FALSE())/12))</f>
        <v>214.3485</v>
      </c>
      <c r="W7" s="25" t="n">
        <f aca="false">VLOOKUP(Q7,'Desl. Base Maringá'!$C$5:$Q$17,15,FALSE())*(2+(VLOOKUP(Q7,'Desl. Base Maringá'!$C$5:$S$17,17,FALSE())/12))</f>
        <v>0</v>
      </c>
      <c r="X7" s="25" t="n">
        <f aca="false">VLOOKUP(Q7,'Desl. Base Maringá'!$C$5:$Q$17,14,FALSE())</f>
        <v>0</v>
      </c>
      <c r="Y7" s="25" t="n">
        <f aca="false">VLOOKUP(Q7,'Desl. Base Maringá'!$C$5:$Q$17,13,FALSE())*'Desl. Base Maringá'!$E$22+'Desl. Base Maringá'!$E$23*N7/12</f>
        <v>199.242375</v>
      </c>
      <c r="Z7" s="25" t="n">
        <f aca="false">(H7/$AC$5)*'Equipe Técnica'!$C$13</f>
        <v>276.809578468237</v>
      </c>
      <c r="AA7" s="25" t="n">
        <f aca="false">(I7/$AC$5)*'Equipe Técnica'!$C$13</f>
        <v>332.171494161884</v>
      </c>
      <c r="AB7" s="25" t="n">
        <f aca="false">(L7/$AC$5)*'Equipe Técnica'!$C$13</f>
        <v>304.49053631506</v>
      </c>
      <c r="AC7" s="25" t="n">
        <f aca="false">(M7/$AC$5)*'Equipe Técnica'!$C$13</f>
        <v>304.49053631506</v>
      </c>
      <c r="AD7" s="25" t="n">
        <f aca="false">R7+(($V7+$W7+$X7+$Y7)*12/19)+$Z7</f>
        <v>631.219867941921</v>
      </c>
      <c r="AE7" s="25" t="n">
        <f aca="false">S7+(($V7+$W7+$X7+$Y7)*12/19)+$AA7</f>
        <v>705.220783635568</v>
      </c>
      <c r="AF7" s="25" t="n">
        <f aca="false">T7+(($V7+$W7+$X7+$Y7)*12/19)+$AB7</f>
        <v>668.220325788745</v>
      </c>
      <c r="AG7" s="25" t="n">
        <f aca="false">U7+(($V7+$W7+$X7+$Y7)*12/19)+$AC7</f>
        <v>668.220325788745</v>
      </c>
      <c r="AI7" s="23" t="str">
        <f aca="false">B7</f>
        <v>APS ASTORGA</v>
      </c>
      <c r="AJ7" s="67" t="n">
        <f aca="false">VLOOKUP(AI7,Unidades!D$5:H$29,5,)</f>
        <v>0.2354</v>
      </c>
      <c r="AK7" s="46" t="n">
        <f aca="false">AD7*(1+$AJ7)</f>
        <v>779.809024855449</v>
      </c>
      <c r="AL7" s="46" t="n">
        <f aca="false">AE7*(1+$AJ7)</f>
        <v>871.229756103381</v>
      </c>
      <c r="AM7" s="46" t="n">
        <f aca="false">AF7*(1+$AJ7)</f>
        <v>825.519390479415</v>
      </c>
      <c r="AN7" s="46" t="n">
        <f aca="false">AG7*(1+$AJ7)</f>
        <v>825.519390479415</v>
      </c>
      <c r="AO7" s="46" t="n">
        <f aca="false">((AK7*12)+(AL7*4)+(AM7*2)+AN7)/12</f>
        <v>1276.59879117643</v>
      </c>
      <c r="AP7" s="46" t="n">
        <f aca="false">AO7*3</f>
        <v>3829.79637352929</v>
      </c>
      <c r="AQ7" s="46" t="n">
        <f aca="false">AO7+AP7</f>
        <v>5106.39516470572</v>
      </c>
      <c r="AR7" s="68"/>
      <c r="AS7" s="69" t="s">
        <v>82</v>
      </c>
      <c r="AT7" s="46" t="n">
        <f aca="false">AK20</f>
        <v>9399.04047622324</v>
      </c>
      <c r="AU7" s="46" t="n">
        <f aca="false">AL20</f>
        <v>10865.8224929758</v>
      </c>
      <c r="AV7" s="46" t="n">
        <f aca="false">AM20</f>
        <v>12583.7364839235</v>
      </c>
      <c r="AW7" s="46" t="n">
        <f aca="false">AN20</f>
        <v>19272.0440755714</v>
      </c>
    </row>
    <row r="8" s="1" customFormat="true" ht="15" hidden="false" customHeight="true" outlineLevel="0" collapsed="false">
      <c r="B8" s="62" t="s">
        <v>83</v>
      </c>
      <c r="C8" s="63" t="n">
        <f aca="false">VLOOKUP($B8,Unidades!$D$5:$N$29,6,FALSE())</f>
        <v>2272.18</v>
      </c>
      <c r="D8" s="63" t="n">
        <f aca="false">VLOOKUP($B8,Unidades!$D$5:$N$29,7,FALSE())</f>
        <v>1403.37</v>
      </c>
      <c r="E8" s="63" t="n">
        <f aca="false">VLOOKUP($B8,Unidades!$D$5:$N$29,8,FALSE())</f>
        <v>651.61</v>
      </c>
      <c r="F8" s="63" t="n">
        <f aca="false">VLOOKUP($B8,Unidades!$D$5:$N$29,9,FALSE())</f>
        <v>217.2</v>
      </c>
      <c r="G8" s="63" t="n">
        <f aca="false">D8+E8*$E$6+F8*$F$6</f>
        <v>1653.1535</v>
      </c>
      <c r="H8" s="64" t="n">
        <f aca="false">IF(G8&lt;750,1.5,IF(G8&lt;2000,2,3))</f>
        <v>2</v>
      </c>
      <c r="I8" s="64" t="n">
        <f aca="false">$I$6*H8</f>
        <v>2.4</v>
      </c>
      <c r="J8" s="64" t="str">
        <f aca="false">VLOOKUP($B8,Unidades!$D$5:$N$29,10,FALSE())</f>
        <v>SIM</v>
      </c>
      <c r="K8" s="64" t="str">
        <f aca="false">VLOOKUP($B8,Unidades!$D$5:$N$29,11,FALSE())</f>
        <v>SIM</v>
      </c>
      <c r="L8" s="64" t="n">
        <f aca="false">$L$6*H8+(IF(J8="SIM",$J$6,0))</f>
        <v>4.2</v>
      </c>
      <c r="M8" s="64" t="n">
        <f aca="false">$M$6*H8+(IF(J8="SIM",$J$6,0))+(IF(K8="SIM",$K$6,0))</f>
        <v>8.2</v>
      </c>
      <c r="N8" s="64" t="n">
        <f aca="false">H8*12+I8*4+L8*2+M8</f>
        <v>50.2</v>
      </c>
      <c r="O8" s="65" t="n">
        <f aca="false">IF(K8="não", N8*(C$23+D$23),N8*(C$23+D$23)+(M8*+E$23))</f>
        <v>3455.946</v>
      </c>
      <c r="P8" s="66"/>
      <c r="Q8" s="23" t="str">
        <f aca="false">B8</f>
        <v>APS CAMPO MOURÃO</v>
      </c>
      <c r="R8" s="25" t="n">
        <f aca="false">H8*($C$23+$D$23)</f>
        <v>124.26</v>
      </c>
      <c r="S8" s="25" t="n">
        <f aca="false">I8*($C$23+$D$23)</f>
        <v>149.112</v>
      </c>
      <c r="T8" s="25" t="n">
        <f aca="false">L8*($C$23+$D$23)</f>
        <v>260.946</v>
      </c>
      <c r="U8" s="25" t="n">
        <f aca="false">IF(K8="não",M8*($C$23+$D$23),M8*(C$23+D$23+E$23))</f>
        <v>846.486</v>
      </c>
      <c r="V8" s="25" t="n">
        <f aca="false">VLOOKUP(Q8,'Desl. Base Maringá'!$C$5:$S$17,13,FALSE())*($C$23+$D$23+$E$23*(VLOOKUP(Q8,'Desl. Base Maringá'!$C$5:$S$17,17,FALSE())/12))</f>
        <v>170.443</v>
      </c>
      <c r="W8" s="25" t="n">
        <f aca="false">VLOOKUP(Q8,'Desl. Base Maringá'!$C$5:$Q$17,15,FALSE())*(2+(VLOOKUP(Q8,'Desl. Base Maringá'!$C$5:$S$17,17,FALSE())/12))</f>
        <v>0</v>
      </c>
      <c r="X8" s="25" t="n">
        <f aca="false">VLOOKUP(Q8,'Desl. Base Maringá'!$C$5:$Q$17,14,FALSE())</f>
        <v>0</v>
      </c>
      <c r="Y8" s="25" t="n">
        <f aca="false">VLOOKUP(Q8,'Desl. Base Maringá'!$C$5:$Q$17,13,FALSE())*'Desl. Base Maringá'!$E$22+'Desl. Base Maringá'!$E$23*N8/12</f>
        <v>166.068166666667</v>
      </c>
      <c r="Z8" s="25" t="n">
        <f aca="false">(H8/$AC$5)*'Equipe Técnica'!$C$13</f>
        <v>369.079437957649</v>
      </c>
      <c r="AA8" s="25" t="n">
        <f aca="false">(I8/$AC$5)*'Equipe Técnica'!$C$13</f>
        <v>442.895325549179</v>
      </c>
      <c r="AB8" s="25" t="n">
        <f aca="false">(L8/$AC$5)*'Equipe Técnica'!$C$13</f>
        <v>775.066819711063</v>
      </c>
      <c r="AC8" s="25" t="n">
        <f aca="false">(M8/$AC$5)*'Equipe Técnica'!$C$13</f>
        <v>1513.22569562636</v>
      </c>
      <c r="AD8" s="25" t="n">
        <f aca="false">R8+(($V8+$W8+$X8+$Y8)*12/19)+$Z8</f>
        <v>705.872806378702</v>
      </c>
      <c r="AE8" s="25" t="n">
        <f aca="false">S8+(($V8+$W8+$X8+$Y8)*12/19)+$AA8</f>
        <v>804.540693970231</v>
      </c>
      <c r="AF8" s="25" t="n">
        <f aca="false">T8+(($V8+$W8+$X8+$Y8)*12/19)+$AB8</f>
        <v>1248.54618813212</v>
      </c>
      <c r="AG8" s="25" t="n">
        <f aca="false">U8+(($V8+$W8+$X8+$Y8)*12/19)+$AC8</f>
        <v>2572.24506404741</v>
      </c>
      <c r="AI8" s="23" t="str">
        <f aca="false">B8</f>
        <v>APS CAMPO MOURÃO</v>
      </c>
      <c r="AJ8" s="67" t="n">
        <f aca="false">VLOOKUP(AI8,Unidades!D$5:H$29,5,)</f>
        <v>0.2624</v>
      </c>
      <c r="AK8" s="46" t="n">
        <f aca="false">AD8*(1+$AJ8)</f>
        <v>891.093830772473</v>
      </c>
      <c r="AL8" s="46" t="n">
        <f aca="false">AE8*(1+$AJ8)</f>
        <v>1015.65217206802</v>
      </c>
      <c r="AM8" s="46" t="n">
        <f aca="false">AF8*(1+$AJ8)</f>
        <v>1576.16470789798</v>
      </c>
      <c r="AN8" s="46" t="n">
        <f aca="false">AG8*(1+$AJ8)</f>
        <v>3247.20216885345</v>
      </c>
      <c r="AO8" s="46" t="n">
        <f aca="false">((AK8*12)+(AL8*4)+(AM8*2)+AN8)/12</f>
        <v>1762.93885351593</v>
      </c>
      <c r="AP8" s="46" t="n">
        <f aca="false">AO8*3</f>
        <v>5288.81656054779</v>
      </c>
      <c r="AQ8" s="46" t="n">
        <f aca="false">AO8+AP8</f>
        <v>7051.75541406373</v>
      </c>
      <c r="AR8" s="68"/>
      <c r="AS8" s="69" t="s">
        <v>84</v>
      </c>
      <c r="AT8" s="46" t="n">
        <f aca="false">AT7*12</f>
        <v>112788.485714679</v>
      </c>
      <c r="AU8" s="46" t="n">
        <f aca="false">AU7*4</f>
        <v>43463.2899719031</v>
      </c>
      <c r="AV8" s="46" t="n">
        <f aca="false">AV7*2</f>
        <v>25167.472967847</v>
      </c>
      <c r="AW8" s="46" t="n">
        <f aca="false">AW7</f>
        <v>19272.0440755714</v>
      </c>
    </row>
    <row r="9" s="1" customFormat="true" ht="15" hidden="false" customHeight="true" outlineLevel="0" collapsed="false">
      <c r="B9" s="62" t="s">
        <v>85</v>
      </c>
      <c r="C9" s="63" t="n">
        <f aca="false">VLOOKUP($B9,Unidades!$D$5:$N$29,6,FALSE())</f>
        <v>948.9</v>
      </c>
      <c r="D9" s="63" t="n">
        <f aca="false">VLOOKUP($B9,Unidades!$D$5:$N$29,7,FALSE())</f>
        <v>585</v>
      </c>
      <c r="E9" s="63" t="n">
        <f aca="false">VLOOKUP($B9,Unidades!$D$5:$N$29,8,FALSE())</f>
        <v>363.9</v>
      </c>
      <c r="F9" s="63" t="n">
        <f aca="false">VLOOKUP($B9,Unidades!$D$5:$N$29,9,FALSE())</f>
        <v>0</v>
      </c>
      <c r="G9" s="63" t="n">
        <f aca="false">D9+E9*$E$6+F9*$F$6</f>
        <v>712.365</v>
      </c>
      <c r="H9" s="64" t="n">
        <f aca="false">IF(G9&lt;750,1.5,IF(G9&lt;2000,2,3))</f>
        <v>1.5</v>
      </c>
      <c r="I9" s="64" t="n">
        <f aca="false">$I$6*H9</f>
        <v>1.8</v>
      </c>
      <c r="J9" s="64" t="str">
        <f aca="false">VLOOKUP($B9,Unidades!$D$5:$N$29,10,FALSE())</f>
        <v>NÃO</v>
      </c>
      <c r="K9" s="64" t="str">
        <f aca="false">VLOOKUP($B9,Unidades!$D$5:$N$29,11,FALSE())</f>
        <v>NÃO</v>
      </c>
      <c r="L9" s="64" t="n">
        <f aca="false">$L$6*H9+(IF(J9="SIM",$J$6,0))</f>
        <v>1.65</v>
      </c>
      <c r="M9" s="64" t="n">
        <f aca="false">$M$6*H9+(IF(J9="SIM",$J$6,0))+(IF(K9="SIM",$K$6,0))</f>
        <v>1.65</v>
      </c>
      <c r="N9" s="64" t="n">
        <f aca="false">H9*12+I9*4+L9*2+M9</f>
        <v>30.15</v>
      </c>
      <c r="O9" s="65" t="n">
        <f aca="false">IF(K9="não", N9*(C$23+D$23),N9*(C$23+D$23)+(M9*+E$23))</f>
        <v>1873.2195</v>
      </c>
      <c r="P9" s="66"/>
      <c r="Q9" s="23" t="str">
        <f aca="false">B9</f>
        <v>APS CIANORTE</v>
      </c>
      <c r="R9" s="25" t="n">
        <f aca="false">H9*($C$23+$D$23)</f>
        <v>93.195</v>
      </c>
      <c r="S9" s="25" t="n">
        <f aca="false">I9*($C$23+$D$23)</f>
        <v>111.834</v>
      </c>
      <c r="T9" s="25" t="n">
        <f aca="false">L9*($C$23+$D$23)</f>
        <v>102.5145</v>
      </c>
      <c r="U9" s="25" t="n">
        <f aca="false">IF(K9="não",M9*($C$23+$D$23),M9*(C$23+D$23+E$23))</f>
        <v>102.5145</v>
      </c>
      <c r="V9" s="25" t="n">
        <f aca="false">VLOOKUP(Q9,'Desl. Base Maringá'!$C$5:$S$17,13,FALSE())*($C$23+$D$23+$E$23*(VLOOKUP(Q9,'Desl. Base Maringá'!$C$5:$S$17,17,FALSE())/12))</f>
        <v>79.21575</v>
      </c>
      <c r="W9" s="25" t="n">
        <f aca="false">VLOOKUP(Q9,'Desl. Base Maringá'!$C$5:$Q$17,15,FALSE())*(2+(VLOOKUP(Q9,'Desl. Base Maringá'!$C$5:$S$17,17,FALSE())/12))</f>
        <v>0</v>
      </c>
      <c r="X9" s="25" t="n">
        <f aca="false">VLOOKUP(Q9,'Desl. Base Maringá'!$C$5:$Q$17,14,FALSE())</f>
        <v>0</v>
      </c>
      <c r="Y9" s="25" t="n">
        <f aca="false">VLOOKUP(Q9,'Desl. Base Maringá'!$C$5:$Q$17,13,FALSE())*'Desl. Base Maringá'!$E$22+'Desl. Base Maringá'!$E$23*N9/12</f>
        <v>84.641625</v>
      </c>
      <c r="Z9" s="25" t="n">
        <f aca="false">(H9/$AC$5)*'Equipe Técnica'!$C$13</f>
        <v>276.809578468237</v>
      </c>
      <c r="AA9" s="25" t="n">
        <f aca="false">(I9/$AC$5)*'Equipe Técnica'!$C$13</f>
        <v>332.171494161884</v>
      </c>
      <c r="AB9" s="25" t="n">
        <f aca="false">(L9/$AC$5)*'Equipe Técnica'!$C$13</f>
        <v>304.49053631506</v>
      </c>
      <c r="AC9" s="25" t="n">
        <f aca="false">(M9/$AC$5)*'Equipe Técnica'!$C$13</f>
        <v>304.49053631506</v>
      </c>
      <c r="AD9" s="25" t="n">
        <f aca="false">R9+(($V9+$W9+$X9+$Y9)*12/19)+$Z9</f>
        <v>473.493446889289</v>
      </c>
      <c r="AE9" s="25" t="n">
        <f aca="false">S9+(($V9+$W9+$X9+$Y9)*12/19)+$AA9</f>
        <v>547.494362582937</v>
      </c>
      <c r="AF9" s="25" t="n">
        <f aca="false">T9+(($V9+$W9+$X9+$Y9)*12/19)+$AB9</f>
        <v>510.493904736113</v>
      </c>
      <c r="AG9" s="25" t="n">
        <f aca="false">U9+(($V9+$W9+$X9+$Y9)*12/19)+$AC9</f>
        <v>510.493904736113</v>
      </c>
      <c r="AI9" s="23" t="str">
        <f aca="false">B9</f>
        <v>APS CIANORTE</v>
      </c>
      <c r="AJ9" s="67" t="n">
        <f aca="false">VLOOKUP(AI9,Unidades!D$5:H$29,5,)</f>
        <v>0.2354</v>
      </c>
      <c r="AK9" s="46" t="n">
        <f aca="false">AD9*(1+$AJ9)</f>
        <v>584.953804287028</v>
      </c>
      <c r="AL9" s="46" t="n">
        <f aca="false">AE9*(1+$AJ9)</f>
        <v>676.37453553496</v>
      </c>
      <c r="AM9" s="46" t="n">
        <f aca="false">AF9*(1+$AJ9)</f>
        <v>630.664169910994</v>
      </c>
      <c r="AN9" s="46" t="n">
        <f aca="false">AG9*(1+$AJ9)</f>
        <v>630.664169910994</v>
      </c>
      <c r="AO9" s="46" t="n">
        <f aca="false">((AK9*12)+(AL9*4)+(AM9*2)+AN9)/12</f>
        <v>968.07802527643</v>
      </c>
      <c r="AP9" s="46" t="n">
        <f aca="false">AO9*3</f>
        <v>2904.23407582929</v>
      </c>
      <c r="AQ9" s="46" t="n">
        <f aca="false">AO9+AP9</f>
        <v>3872.31210110572</v>
      </c>
      <c r="AR9" s="68"/>
      <c r="AS9" s="68"/>
      <c r="AT9" s="70"/>
      <c r="AU9" s="70"/>
      <c r="AV9" s="70"/>
      <c r="AW9" s="70"/>
    </row>
    <row r="10" s="1" customFormat="true" ht="15" hidden="false" customHeight="true" outlineLevel="0" collapsed="false">
      <c r="B10" s="62" t="s">
        <v>86</v>
      </c>
      <c r="C10" s="63" t="n">
        <f aca="false">VLOOKUP($B10,Unidades!$D$5:$N$29,6,FALSE())</f>
        <v>334.4</v>
      </c>
      <c r="D10" s="63" t="n">
        <f aca="false">VLOOKUP($B10,Unidades!$D$5:$N$29,7,FALSE())</f>
        <v>296</v>
      </c>
      <c r="E10" s="63" t="n">
        <f aca="false">VLOOKUP($B10,Unidades!$D$5:$N$29,8,FALSE())</f>
        <v>38.4</v>
      </c>
      <c r="F10" s="63" t="n">
        <f aca="false">VLOOKUP($B10,Unidades!$D$5:$N$29,9,FALSE())</f>
        <v>0</v>
      </c>
      <c r="G10" s="63" t="n">
        <f aca="false">D10+E10*$E$6+F10*$F$6</f>
        <v>309.44</v>
      </c>
      <c r="H10" s="64" t="n">
        <f aca="false">IF(G10&lt;750,1.5,IF(G10&lt;2000,2,3))</f>
        <v>1.5</v>
      </c>
      <c r="I10" s="64" t="n">
        <f aca="false">$I$6*H10</f>
        <v>1.8</v>
      </c>
      <c r="J10" s="64" t="str">
        <f aca="false">VLOOKUP($B10,Unidades!$D$5:$N$29,10,FALSE())</f>
        <v>NÃO</v>
      </c>
      <c r="K10" s="64" t="str">
        <f aca="false">VLOOKUP($B10,Unidades!$D$5:$N$29,11,FALSE())</f>
        <v>NÃO</v>
      </c>
      <c r="L10" s="64" t="n">
        <f aca="false">$L$6*H10+(IF(J10="SIM",$J$6,0))</f>
        <v>1.65</v>
      </c>
      <c r="M10" s="64" t="n">
        <f aca="false">$M$6*H10+(IF(J10="SIM",$J$6,0))+(IF(K10="SIM",$K$6,0))</f>
        <v>1.65</v>
      </c>
      <c r="N10" s="64" t="n">
        <f aca="false">H10*12+I10*4+L10*2+M10</f>
        <v>30.15</v>
      </c>
      <c r="O10" s="65" t="n">
        <f aca="false">IF(K10="não", N10*(C$23+D$23),N10*(C$23+D$23)+(M10*+E$23))</f>
        <v>1873.2195</v>
      </c>
      <c r="P10" s="66"/>
      <c r="Q10" s="23" t="str">
        <f aca="false">B10</f>
        <v>APS COLORADO</v>
      </c>
      <c r="R10" s="25" t="n">
        <f aca="false">H10*($C$23+$D$23)</f>
        <v>93.195</v>
      </c>
      <c r="S10" s="25" t="n">
        <f aca="false">I10*($C$23+$D$23)</f>
        <v>111.834</v>
      </c>
      <c r="T10" s="25" t="n">
        <f aca="false">L10*($C$23+$D$23)</f>
        <v>102.5145</v>
      </c>
      <c r="U10" s="25" t="n">
        <f aca="false">IF(K10="não",M10*($C$23+$D$23),M10*(C$23+D$23+E$23))</f>
        <v>102.5145</v>
      </c>
      <c r="V10" s="25" t="n">
        <f aca="false">VLOOKUP(Q10,'Desl. Base Maringá'!$C$5:$S$17,13,FALSE())*($C$23+$D$23+$E$23*(VLOOKUP(Q10,'Desl. Base Maringá'!$C$5:$S$17,17,FALSE())/12))</f>
        <v>86.46425</v>
      </c>
      <c r="W10" s="25" t="n">
        <f aca="false">VLOOKUP(Q10,'Desl. Base Maringá'!$C$5:$Q$17,15,FALSE())*(2+(VLOOKUP(Q10,'Desl. Base Maringá'!$C$5:$S$17,17,FALSE())/12))</f>
        <v>0</v>
      </c>
      <c r="X10" s="25" t="n">
        <f aca="false">VLOOKUP(Q10,'Desl. Base Maringá'!$C$5:$Q$17,14,FALSE())</f>
        <v>0</v>
      </c>
      <c r="Y10" s="25" t="n">
        <f aca="false">VLOOKUP(Q10,'Desl. Base Maringá'!$C$5:$Q$17,13,FALSE())*'Desl. Base Maringá'!$E$22+'Desl. Base Maringá'!$E$23*N10/12</f>
        <v>90.7887916666667</v>
      </c>
      <c r="Z10" s="25" t="n">
        <f aca="false">(H10/$AC$5)*'Equipe Técnica'!$C$13</f>
        <v>276.809578468237</v>
      </c>
      <c r="AA10" s="25" t="n">
        <f aca="false">(I10/$AC$5)*'Equipe Técnica'!$C$13</f>
        <v>332.171494161884</v>
      </c>
      <c r="AB10" s="25" t="n">
        <f aca="false">(L10/$AC$5)*'Equipe Técnica'!$C$13</f>
        <v>304.49053631506</v>
      </c>
      <c r="AC10" s="25" t="n">
        <f aca="false">(M10/$AC$5)*'Equipe Técnica'!$C$13</f>
        <v>304.49053631506</v>
      </c>
      <c r="AD10" s="25" t="n">
        <f aca="false">R10+(($V10+$W10+$X10+$Y10)*12/19)+$Z10</f>
        <v>481.953867941921</v>
      </c>
      <c r="AE10" s="25" t="n">
        <f aca="false">S10+(($V10+$W10+$X10+$Y10)*12/19)+$AA10</f>
        <v>555.954783635568</v>
      </c>
      <c r="AF10" s="25" t="n">
        <f aca="false">T10+(($V10+$W10+$X10+$Y10)*12/19)+$AB10</f>
        <v>518.954325788745</v>
      </c>
      <c r="AG10" s="25" t="n">
        <f aca="false">U10+(($V10+$W10+$X10+$Y10)*12/19)+$AC10</f>
        <v>518.954325788745</v>
      </c>
      <c r="AI10" s="23" t="str">
        <f aca="false">B10</f>
        <v>APS COLORADO</v>
      </c>
      <c r="AJ10" s="67" t="n">
        <f aca="false">VLOOKUP(AI10,Unidades!D$5:H$29,5,)</f>
        <v>0.2354</v>
      </c>
      <c r="AK10" s="46" t="n">
        <f aca="false">AD10*(1+$AJ10)</f>
        <v>595.405808455449</v>
      </c>
      <c r="AL10" s="46" t="n">
        <f aca="false">AE10*(1+$AJ10)</f>
        <v>686.826539703381</v>
      </c>
      <c r="AM10" s="46" t="n">
        <f aca="false">AF10*(1+$AJ10)</f>
        <v>641.116174079415</v>
      </c>
      <c r="AN10" s="46" t="n">
        <f aca="false">AG10*(1+$AJ10)</f>
        <v>641.116174079415</v>
      </c>
      <c r="AO10" s="46" t="n">
        <f aca="false">((AK10*12)+(AL10*4)+(AM10*2)+AN10)/12</f>
        <v>984.62703187643</v>
      </c>
      <c r="AP10" s="46" t="n">
        <f aca="false">AO10*3</f>
        <v>2953.88109562929</v>
      </c>
      <c r="AQ10" s="46" t="n">
        <f aca="false">AO10+AP10</f>
        <v>3938.50812750572</v>
      </c>
      <c r="AR10" s="68"/>
      <c r="AS10" s="71" t="s">
        <v>72</v>
      </c>
      <c r="AT10" s="46" t="n">
        <f aca="false">(SUM(AT8:AW8))/12</f>
        <v>16724.2743941667</v>
      </c>
      <c r="AU10" s="46"/>
      <c r="AV10" s="70"/>
      <c r="AW10" s="70"/>
    </row>
    <row r="11" s="1" customFormat="true" ht="15" hidden="false" customHeight="true" outlineLevel="0" collapsed="false">
      <c r="B11" s="62" t="s">
        <v>87</v>
      </c>
      <c r="C11" s="63" t="n">
        <f aca="false">VLOOKUP($B11,Unidades!$D$5:$N$29,6,FALSE())</f>
        <v>334.4</v>
      </c>
      <c r="D11" s="63" t="n">
        <f aca="false">VLOOKUP($B11,Unidades!$D$5:$N$29,7,FALSE())</f>
        <v>296</v>
      </c>
      <c r="E11" s="63" t="n">
        <f aca="false">VLOOKUP($B11,Unidades!$D$5:$N$29,8,FALSE())</f>
        <v>38.4</v>
      </c>
      <c r="F11" s="63" t="n">
        <f aca="false">VLOOKUP($B11,Unidades!$D$5:$N$29,9,FALSE())</f>
        <v>0</v>
      </c>
      <c r="G11" s="63" t="n">
        <f aca="false">D11+E11*$E$6+F11*$F$6</f>
        <v>309.44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NÃO</v>
      </c>
      <c r="L11" s="64" t="n">
        <f aca="false">$L$6*H11+(IF(J11="SIM",$J$6,0))</f>
        <v>1.65</v>
      </c>
      <c r="M11" s="64" t="n">
        <f aca="false">$M$6*H11+(IF(J11="SIM",$J$6,0))+(IF(K11="SIM",$K$6,0))</f>
        <v>1.65</v>
      </c>
      <c r="N11" s="64" t="n">
        <f aca="false">H11*12+I11*4+L11*2+M11</f>
        <v>30.15</v>
      </c>
      <c r="O11" s="65" t="n">
        <f aca="false">IF(K11="não", N11*(C$23+D$23),N11*(C$23+D$23)+(M11*+E$23))</f>
        <v>1873.2195</v>
      </c>
      <c r="P11" s="66"/>
      <c r="Q11" s="23" t="str">
        <f aca="false">B11</f>
        <v>APS CRUZEIRO DO OESTE</v>
      </c>
      <c r="R11" s="25" t="n">
        <f aca="false">H11*($C$23+$D$23)</f>
        <v>93.195</v>
      </c>
      <c r="S11" s="25" t="n">
        <f aca="false">I11*($C$23+$D$23)</f>
        <v>111.834</v>
      </c>
      <c r="T11" s="25" t="n">
        <f aca="false">L11*($C$23+$D$23)</f>
        <v>102.5145</v>
      </c>
      <c r="U11" s="25" t="n">
        <f aca="false">IF(K11="não",M11*($C$23+$D$23),M11*(C$23+D$23+E$23))</f>
        <v>102.5145</v>
      </c>
      <c r="V11" s="25" t="n">
        <f aca="false">VLOOKUP(Q11,'Desl. Base Maringá'!$C$5:$S$17,13,FALSE())*($C$23+$D$23+$E$23*(VLOOKUP(Q11,'Desl. Base Maringá'!$C$5:$S$17,17,FALSE())/12))</f>
        <v>156.239416666667</v>
      </c>
      <c r="W11" s="25" t="n">
        <f aca="false">VLOOKUP(Q11,'Desl. Base Maringá'!$C$5:$Q$17,15,FALSE())*(2+(VLOOKUP(Q11,'Desl. Base Maringá'!$C$5:$S$17,17,FALSE())/12))</f>
        <v>0</v>
      </c>
      <c r="X11" s="25" t="n">
        <f aca="false">VLOOKUP(Q11,'Desl. Base Maringá'!$C$5:$Q$17,14,FALSE())</f>
        <v>0</v>
      </c>
      <c r="Y11" s="25" t="n">
        <f aca="false">VLOOKUP(Q11,'Desl. Base Maringá'!$C$5:$Q$17,13,FALSE())*'Desl. Base Maringá'!$E$22+'Desl. Base Maringá'!$E$23*N11/12</f>
        <v>143.039708333333</v>
      </c>
      <c r="Z11" s="25" t="n">
        <f aca="false">(H11/$AC$5)*'Equipe Técnica'!$C$13</f>
        <v>276.809578468237</v>
      </c>
      <c r="AA11" s="25" t="n">
        <f aca="false">(I11/$AC$5)*'Equipe Técnica'!$C$13</f>
        <v>332.171494161884</v>
      </c>
      <c r="AB11" s="25" t="n">
        <f aca="false">(L11/$AC$5)*'Equipe Técnica'!$C$13</f>
        <v>304.49053631506</v>
      </c>
      <c r="AC11" s="25" t="n">
        <f aca="false">(M11/$AC$5)*'Equipe Técnica'!$C$13</f>
        <v>304.49053631506</v>
      </c>
      <c r="AD11" s="25" t="n">
        <f aca="false">R11+(($V11+$W11+$X11+$Y11)*12/19)+$Z11</f>
        <v>559.022973205079</v>
      </c>
      <c r="AE11" s="25" t="n">
        <f aca="false">S11+(($V11+$W11+$X11+$Y11)*12/19)+$AA11</f>
        <v>633.023888898726</v>
      </c>
      <c r="AF11" s="25" t="n">
        <f aca="false">T11+(($V11+$W11+$X11+$Y11)*12/19)+$AB11</f>
        <v>596.023431051902</v>
      </c>
      <c r="AG11" s="25" t="n">
        <f aca="false">U11+(($V11+$W11+$X11+$Y11)*12/19)+$AC11</f>
        <v>596.023431051902</v>
      </c>
      <c r="AI11" s="23" t="str">
        <f aca="false">B11</f>
        <v>APS CRUZEIRO DO OESTE</v>
      </c>
      <c r="AJ11" s="67" t="n">
        <f aca="false">VLOOKUP(AI11,Unidades!D$5:H$29,5,)</f>
        <v>0.2487</v>
      </c>
      <c r="AK11" s="46" t="n">
        <f aca="false">AD11*(1+$AJ11)</f>
        <v>698.051986641182</v>
      </c>
      <c r="AL11" s="46" t="n">
        <f aca="false">AE11*(1+$AJ11)</f>
        <v>790.456930067839</v>
      </c>
      <c r="AM11" s="46" t="n">
        <f aca="false">AF11*(1+$AJ11)</f>
        <v>744.254458354511</v>
      </c>
      <c r="AN11" s="46" t="n">
        <f aca="false">AG11*(1+$AJ11)</f>
        <v>744.254458354511</v>
      </c>
      <c r="AO11" s="46" t="n">
        <f aca="false">((AK11*12)+(AL11*4)+(AM11*2)+AN11)/12</f>
        <v>1147.60124458576</v>
      </c>
      <c r="AP11" s="46" t="n">
        <f aca="false">AO11*3</f>
        <v>3442.80373375727</v>
      </c>
      <c r="AQ11" s="46" t="n">
        <f aca="false">AO11+AP11</f>
        <v>4590.40497834302</v>
      </c>
      <c r="AR11" s="68"/>
      <c r="AS11" s="71" t="s">
        <v>88</v>
      </c>
      <c r="AT11" s="46" t="n">
        <f aca="false">AT10*12</f>
        <v>200691.29273</v>
      </c>
      <c r="AU11" s="46"/>
      <c r="AV11" s="70"/>
      <c r="AW11" s="70"/>
    </row>
    <row r="12" s="1" customFormat="true" ht="15" hidden="false" customHeight="true" outlineLevel="0" collapsed="false">
      <c r="B12" s="62" t="s">
        <v>89</v>
      </c>
      <c r="C12" s="63" t="n">
        <f aca="false">VLOOKUP($B12,Unidades!$D$5:$N$29,6,FALSE())</f>
        <v>645.13</v>
      </c>
      <c r="D12" s="63" t="n">
        <f aca="false">VLOOKUP($B12,Unidades!$D$5:$N$29,7,FALSE())</f>
        <v>452.2</v>
      </c>
      <c r="E12" s="63" t="n">
        <f aca="false">VLOOKUP($B12,Unidades!$D$5:$N$29,8,FALSE())</f>
        <v>91.93</v>
      </c>
      <c r="F12" s="63" t="n">
        <f aca="false">VLOOKUP($B12,Unidades!$D$5:$N$29,9,FALSE())</f>
        <v>101</v>
      </c>
      <c r="G12" s="63" t="n">
        <f aca="false">D12+E12*$E$6+F12*$F$6</f>
        <v>494.4755</v>
      </c>
      <c r="H12" s="64" t="n">
        <f aca="false">IF(G12&lt;750,1.5,IF(G12&lt;2000,2,3))</f>
        <v>1.5</v>
      </c>
      <c r="I12" s="64" t="n">
        <f aca="false">$I$6*H12</f>
        <v>1.8</v>
      </c>
      <c r="J12" s="64" t="str">
        <f aca="false">VLOOKUP($B12,Unidades!$D$5:$N$29,10,FALSE())</f>
        <v>NÃO</v>
      </c>
      <c r="K12" s="64" t="str">
        <f aca="false">VLOOKUP($B12,Unidades!$D$5:$N$29,11,FALSE())</f>
        <v>NÃO</v>
      </c>
      <c r="L12" s="64" t="n">
        <f aca="false">$L$6*H12+(IF(J12="SIM",$J$6,0))</f>
        <v>1.65</v>
      </c>
      <c r="M12" s="64" t="n">
        <f aca="false">$M$6*H12+(IF(J12="SIM",$J$6,0))+(IF(K12="SIM",$K$6,0))</f>
        <v>1.65</v>
      </c>
      <c r="N12" s="64" t="n">
        <f aca="false">H12*12+I12*4+L12*2+M12</f>
        <v>30.15</v>
      </c>
      <c r="O12" s="65" t="n">
        <f aca="false">IF(K12="não", N12*(C$23+D$23),N12*(C$23+D$23)+(M12*+E$23))</f>
        <v>1873.2195</v>
      </c>
      <c r="P12" s="66"/>
      <c r="Q12" s="23" t="str">
        <f aca="false">B12</f>
        <v>APS LOANDA</v>
      </c>
      <c r="R12" s="25" t="n">
        <f aca="false">H12*($C$23+$D$23)</f>
        <v>93.195</v>
      </c>
      <c r="S12" s="25" t="n">
        <f aca="false">I12*($C$23+$D$23)</f>
        <v>111.834</v>
      </c>
      <c r="T12" s="25" t="n">
        <f aca="false">L12*($C$23+$D$23)</f>
        <v>102.5145</v>
      </c>
      <c r="U12" s="25" t="n">
        <f aca="false">IF(K12="não",M12*($C$23+$D$23),M12*(C$23+D$23+E$23))</f>
        <v>102.5145</v>
      </c>
      <c r="V12" s="25" t="n">
        <f aca="false">VLOOKUP(Q12,'Desl. Base Maringá'!$C$5:$S$17,13,FALSE())*($C$23+$D$23+$E$23*(VLOOKUP(Q12,'Desl. Base Maringá'!$C$5:$S$17,17,FALSE())/12))</f>
        <v>78.1197083333333</v>
      </c>
      <c r="W12" s="25" t="n">
        <f aca="false">VLOOKUP(Q12,'Desl. Base Maringá'!$C$5:$Q$17,15,FALSE())*(2+(VLOOKUP(Q12,'Desl. Base Maringá'!$C$5:$S$17,17,FALSE())/12))</f>
        <v>0</v>
      </c>
      <c r="X12" s="25" t="n">
        <f aca="false">VLOOKUP(Q12,'Desl. Base Maringá'!$C$5:$Q$17,14,FALSE())</f>
        <v>0</v>
      </c>
      <c r="Y12" s="25" t="n">
        <f aca="false">VLOOKUP(Q12,'Desl. Base Maringá'!$C$5:$Q$17,13,FALSE())*'Desl. Base Maringá'!$E$22+'Desl. Base Maringá'!$E$23*N12/12</f>
        <v>80.2507916666667</v>
      </c>
      <c r="Z12" s="25" t="n">
        <f aca="false">(H12/$AC$5)*'Equipe Técnica'!$C$13</f>
        <v>276.809578468237</v>
      </c>
      <c r="AA12" s="25" t="n">
        <f aca="false">(I12/$AC$5)*'Equipe Técnica'!$C$13</f>
        <v>332.171494161884</v>
      </c>
      <c r="AB12" s="25" t="n">
        <f aca="false">(L12/$AC$5)*'Equipe Técnica'!$C$13</f>
        <v>304.49053631506</v>
      </c>
      <c r="AC12" s="25" t="n">
        <f aca="false">(M12/$AC$5)*'Equipe Técnica'!$C$13</f>
        <v>304.49053631506</v>
      </c>
      <c r="AD12" s="25" t="n">
        <f aca="false">R12+(($V12+$W12+$X12+$Y12)*12/19)+$Z12</f>
        <v>470.028052152447</v>
      </c>
      <c r="AE12" s="25" t="n">
        <f aca="false">S12+(($V12+$W12+$X12+$Y12)*12/19)+$AA12</f>
        <v>544.028967846095</v>
      </c>
      <c r="AF12" s="25" t="n">
        <f aca="false">T12+(($V12+$W12+$X12+$Y12)*12/19)+$AB12</f>
        <v>507.028509999271</v>
      </c>
      <c r="AG12" s="25" t="n">
        <f aca="false">U12+(($V12+$W12+$X12+$Y12)*12/19)+$AC12</f>
        <v>507.028509999271</v>
      </c>
      <c r="AI12" s="23" t="str">
        <f aca="false">B12</f>
        <v>APS LOANDA</v>
      </c>
      <c r="AJ12" s="67" t="n">
        <f aca="false">VLOOKUP(AI12,Unidades!D$5:H$29,5,)</f>
        <v>0.2624</v>
      </c>
      <c r="AK12" s="46" t="n">
        <f aca="false">AD12*(1+$AJ12)</f>
        <v>593.363413037249</v>
      </c>
      <c r="AL12" s="46" t="n">
        <f aca="false">AE12*(1+$AJ12)</f>
        <v>686.78216900891</v>
      </c>
      <c r="AM12" s="46" t="n">
        <f aca="false">AF12*(1+$AJ12)</f>
        <v>640.07279102308</v>
      </c>
      <c r="AN12" s="46" t="n">
        <f aca="false">AG12*(1+$AJ12)</f>
        <v>640.07279102308</v>
      </c>
      <c r="AO12" s="46" t="n">
        <f aca="false">((AK12*12)+(AL12*4)+(AM12*2)+AN12)/12</f>
        <v>982.309000462656</v>
      </c>
      <c r="AP12" s="46" t="n">
        <f aca="false">AO12*3</f>
        <v>2946.92700138797</v>
      </c>
      <c r="AQ12" s="46" t="n">
        <f aca="false">AO12+AP12</f>
        <v>3929.23600185062</v>
      </c>
      <c r="AR12" s="68"/>
      <c r="AS12" s="71" t="s">
        <v>73</v>
      </c>
      <c r="AT12" s="46" t="n">
        <f aca="false">AT10*3</f>
        <v>50172.8231825001</v>
      </c>
      <c r="AU12" s="46"/>
      <c r="AV12" s="68"/>
      <c r="AW12" s="68"/>
    </row>
    <row r="13" s="1" customFormat="true" ht="15" hidden="false" customHeight="true" outlineLevel="0" collapsed="false">
      <c r="B13" s="62" t="s">
        <v>90</v>
      </c>
      <c r="C13" s="63" t="n">
        <f aca="false">VLOOKUP($B13,Unidades!$D$5:$N$29,6,FALSE())</f>
        <v>334.4</v>
      </c>
      <c r="D13" s="63" t="n">
        <f aca="false">VLOOKUP($B13,Unidades!$D$5:$N$29,7,FALSE())</f>
        <v>296</v>
      </c>
      <c r="E13" s="63" t="n">
        <f aca="false">VLOOKUP($B13,Unidades!$D$5:$N$29,8,FALSE())</f>
        <v>38.4</v>
      </c>
      <c r="F13" s="63" t="n">
        <f aca="false">VLOOKUP($B13,Unidades!$D$5:$N$29,9,FALSE())</f>
        <v>0</v>
      </c>
      <c r="G13" s="63" t="n">
        <f aca="false">D13+E13*$E$6+F13*$F$6</f>
        <v>309.44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N13*(C$23+D$23),N13*(C$23+D$23)+(M13*+E$23))</f>
        <v>1873.2195</v>
      </c>
      <c r="P13" s="66"/>
      <c r="Q13" s="23" t="str">
        <f aca="false">B13</f>
        <v>APS MANDAGUARI</v>
      </c>
      <c r="R13" s="25" t="n">
        <f aca="false">H13*($C$23+$D$23)</f>
        <v>93.195</v>
      </c>
      <c r="S13" s="25" t="n">
        <f aca="false">I13*($C$23+$D$23)</f>
        <v>111.834</v>
      </c>
      <c r="T13" s="25" t="n">
        <f aca="false">L13*($C$23+$D$23)</f>
        <v>102.5145</v>
      </c>
      <c r="U13" s="25" t="n">
        <f aca="false">IF(K13="não",M13*($C$23+$D$23),M13*(C$23+D$23+E$23))</f>
        <v>102.5145</v>
      </c>
      <c r="V13" s="25" t="n">
        <f aca="false">VLOOKUP(Q13,'Desl. Base Maringá'!$C$5:$S$17,13,FALSE())*($C$23+$D$23+$E$23*(VLOOKUP(Q13,'Desl. Base Maringá'!$C$5:$S$17,17,FALSE())/12))</f>
        <v>46.5975</v>
      </c>
      <c r="W13" s="25" t="n">
        <f aca="false">VLOOKUP(Q13,'Desl. Base Maringá'!$C$5:$Q$17,15,FALSE())*(2+(VLOOKUP(Q13,'Desl. Base Maringá'!$C$5:$S$17,17,FALSE())/12))</f>
        <v>0</v>
      </c>
      <c r="X13" s="25" t="n">
        <f aca="false">VLOOKUP(Q13,'Desl. Base Maringá'!$C$5:$Q$17,14,FALSE())</f>
        <v>0</v>
      </c>
      <c r="Y13" s="25" t="n">
        <f aca="false">VLOOKUP(Q13,'Desl. Base Maringá'!$C$5:$Q$17,13,FALSE())*'Desl. Base Maringá'!$E$22+'Desl. Base Maringá'!$E$23*N13/12</f>
        <v>56.979375</v>
      </c>
      <c r="Z13" s="25" t="n">
        <f aca="false">(H13/$AC$5)*'Equipe Técnica'!$C$13</f>
        <v>276.809578468237</v>
      </c>
      <c r="AA13" s="25" t="n">
        <f aca="false">(I13/$AC$5)*'Equipe Técnica'!$C$13</f>
        <v>332.171494161884</v>
      </c>
      <c r="AB13" s="25" t="n">
        <f aca="false">(L13/$AC$5)*'Equipe Técnica'!$C$13</f>
        <v>304.49053631506</v>
      </c>
      <c r="AC13" s="25" t="n">
        <f aca="false">(M13/$AC$5)*'Equipe Técnica'!$C$13</f>
        <v>304.49053631506</v>
      </c>
      <c r="AD13" s="25" t="n">
        <f aca="false">R13+(($V13+$W13+$X13+$Y13)*12/19)+$Z13</f>
        <v>435.421552152447</v>
      </c>
      <c r="AE13" s="25" t="n">
        <f aca="false">S13+(($V13+$W13+$X13+$Y13)*12/19)+$AA13</f>
        <v>509.422467846095</v>
      </c>
      <c r="AF13" s="25" t="n">
        <f aca="false">T13+(($V13+$W13+$X13+$Y13)*12/19)+$AB13</f>
        <v>472.422009999271</v>
      </c>
      <c r="AG13" s="25" t="n">
        <f aca="false">U13+(($V13+$W13+$X13+$Y13)*12/19)+$AC13</f>
        <v>472.422009999271</v>
      </c>
      <c r="AI13" s="23" t="str">
        <f aca="false">B13</f>
        <v>APS MANDAGUARI</v>
      </c>
      <c r="AJ13" s="67" t="n">
        <f aca="false">VLOOKUP(AI13,Unidades!D$5:H$29,5,)</f>
        <v>0.2354</v>
      </c>
      <c r="AK13" s="46" t="n">
        <f aca="false">AD13*(1+$AJ13)</f>
        <v>537.919785529133</v>
      </c>
      <c r="AL13" s="46" t="n">
        <f aca="false">AE13*(1+$AJ13)</f>
        <v>629.340516777065</v>
      </c>
      <c r="AM13" s="46" t="n">
        <f aca="false">AF13*(1+$AJ13)</f>
        <v>583.630151153099</v>
      </c>
      <c r="AN13" s="46" t="n">
        <f aca="false">AG13*(1+$AJ13)</f>
        <v>583.630151153099</v>
      </c>
      <c r="AO13" s="46" t="n">
        <f aca="false">((AK13*12)+(AL13*4)+(AM13*2)+AN13)/12</f>
        <v>893.60749557643</v>
      </c>
      <c r="AP13" s="46" t="n">
        <f aca="false">AO13*3</f>
        <v>2680.82248672929</v>
      </c>
      <c r="AQ13" s="46" t="n">
        <f aca="false">AO13+AP13</f>
        <v>3574.42998230572</v>
      </c>
      <c r="AR13" s="68"/>
      <c r="AS13" s="71" t="s">
        <v>91</v>
      </c>
      <c r="AT13" s="46" t="n">
        <f aca="false">AT12*12</f>
        <v>602073.878190001</v>
      </c>
      <c r="AU13" s="46"/>
      <c r="AV13" s="70"/>
      <c r="AW13" s="70"/>
    </row>
    <row r="14" s="1" customFormat="true" ht="15" hidden="false" customHeight="true" outlineLevel="0" collapsed="false">
      <c r="B14" s="62" t="s">
        <v>92</v>
      </c>
      <c r="C14" s="63" t="n">
        <f aca="false">VLOOKUP($B14,Unidades!$D$5:$N$29,6,FALSE())</f>
        <v>334.4</v>
      </c>
      <c r="D14" s="63" t="n">
        <f aca="false">VLOOKUP($B14,Unidades!$D$5:$N$29,7,FALSE())</f>
        <v>296</v>
      </c>
      <c r="E14" s="63" t="n">
        <f aca="false">VLOOKUP($B14,Unidades!$D$5:$N$29,8,FALSE())</f>
        <v>38.4</v>
      </c>
      <c r="F14" s="63" t="n">
        <f aca="false">VLOOKUP($B14,Unidades!$D$5:$N$29,9,FALSE())</f>
        <v>0</v>
      </c>
      <c r="G14" s="63" t="n">
        <f aca="false">D14+E14*$E$6+F14*$F$6</f>
        <v>309.44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VLOOKUP($B14,Unidades!$D$5:$N$29,10,FALSE())</f>
        <v>NÃO</v>
      </c>
      <c r="K14" s="64" t="str">
        <f aca="false">VLOOKUP($B14,Unidades!$D$5:$N$29,11,FALSE())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N14*(C$23+D$23),N14*(C$23+D$23)+(M14*+E$23))</f>
        <v>1873.2195</v>
      </c>
      <c r="P14" s="66"/>
      <c r="Q14" s="23" t="str">
        <f aca="false">B14</f>
        <v>APS NOVA ESPERANÇA</v>
      </c>
      <c r="R14" s="25" t="n">
        <f aca="false">H14*($C$23+$D$23)</f>
        <v>93.195</v>
      </c>
      <c r="S14" s="25" t="n">
        <f aca="false">I14*($C$23+$D$23)</f>
        <v>111.834</v>
      </c>
      <c r="T14" s="25" t="n">
        <f aca="false">L14*($C$23+$D$23)</f>
        <v>102.5145</v>
      </c>
      <c r="U14" s="25" t="n">
        <f aca="false">IF(K14="não",M14*($C$23+$D$23),M14*(C$23+D$23+E$23))</f>
        <v>102.5145</v>
      </c>
      <c r="V14" s="25" t="n">
        <f aca="false">VLOOKUP(Q14,'Desl. Base Maringá'!$C$5:$S$17,13,FALSE())*($C$23+$D$23+$E$23*(VLOOKUP(Q14,'Desl. Base Maringá'!$C$5:$S$17,17,FALSE())/12))</f>
        <v>86.46425</v>
      </c>
      <c r="W14" s="25" t="n">
        <f aca="false">VLOOKUP(Q14,'Desl. Base Maringá'!$C$5:$Q$17,15,FALSE())*(2+(VLOOKUP(Q14,'Desl. Base Maringá'!$C$5:$S$17,17,FALSE())/12))</f>
        <v>0</v>
      </c>
      <c r="X14" s="25" t="n">
        <f aca="false">VLOOKUP(Q14,'Desl. Base Maringá'!$C$5:$Q$17,14,FALSE())</f>
        <v>0</v>
      </c>
      <c r="Y14" s="25" t="n">
        <f aca="false">VLOOKUP(Q14,'Desl. Base Maringá'!$C$5:$Q$17,13,FALSE())*'Desl. Base Maringá'!$E$22+'Desl. Base Maringá'!$E$23*N14/12</f>
        <v>90.7887916666667</v>
      </c>
      <c r="Z14" s="25" t="n">
        <f aca="false">(H14/$AC$5)*'Equipe Técnica'!$C$13</f>
        <v>276.809578468237</v>
      </c>
      <c r="AA14" s="25" t="n">
        <f aca="false">(I14/$AC$5)*'Equipe Técnica'!$C$13</f>
        <v>332.171494161884</v>
      </c>
      <c r="AB14" s="25" t="n">
        <f aca="false">(L14/$AC$5)*'Equipe Técnica'!$C$13</f>
        <v>304.49053631506</v>
      </c>
      <c r="AC14" s="25" t="n">
        <f aca="false">(M14/$AC$5)*'Equipe Técnica'!$C$13</f>
        <v>304.49053631506</v>
      </c>
      <c r="AD14" s="25" t="n">
        <f aca="false">R14+(($V14+$W14+$X14+$Y14)*12/19)+$Z14</f>
        <v>481.953867941921</v>
      </c>
      <c r="AE14" s="25" t="n">
        <f aca="false">S14+(($V14+$W14+$X14+$Y14)*12/19)+$AA14</f>
        <v>555.954783635568</v>
      </c>
      <c r="AF14" s="25" t="n">
        <f aca="false">T14+(($V14+$W14+$X14+$Y14)*12/19)+$AB14</f>
        <v>518.954325788745</v>
      </c>
      <c r="AG14" s="25" t="n">
        <f aca="false">U14+(($V14+$W14+$X14+$Y14)*12/19)+$AC14</f>
        <v>518.954325788745</v>
      </c>
      <c r="AI14" s="23" t="str">
        <f aca="false">B14</f>
        <v>APS NOVA ESPERANÇA</v>
      </c>
      <c r="AJ14" s="67" t="n">
        <f aca="false">VLOOKUP(AI14,Unidades!D$5:H$29,5,)</f>
        <v>0.2223</v>
      </c>
      <c r="AK14" s="46" t="n">
        <f aca="false">AD14*(1+$AJ14)</f>
        <v>589.09221278541</v>
      </c>
      <c r="AL14" s="46" t="n">
        <f aca="false">AE14*(1+$AJ14)</f>
        <v>679.543532037755</v>
      </c>
      <c r="AM14" s="46" t="n">
        <f aca="false">AF14*(1+$AJ14)</f>
        <v>634.317872411583</v>
      </c>
      <c r="AN14" s="46" t="n">
        <f aca="false">AG14*(1+$AJ14)</f>
        <v>634.317872411583</v>
      </c>
      <c r="AO14" s="46" t="n">
        <f aca="false">((AK14*12)+(AL14*4)+(AM14*2)+AN14)/12</f>
        <v>974.186191567557</v>
      </c>
      <c r="AP14" s="46" t="n">
        <f aca="false">AO14*3</f>
        <v>2922.55857470267</v>
      </c>
      <c r="AQ14" s="46" t="n">
        <f aca="false">AO14+AP14</f>
        <v>3896.74476627023</v>
      </c>
      <c r="AR14" s="68"/>
      <c r="AS14" s="71" t="s">
        <v>93</v>
      </c>
      <c r="AT14" s="46" t="n">
        <f aca="false">AT10+AT12</f>
        <v>66897.0975766668</v>
      </c>
      <c r="AU14" s="46"/>
      <c r="AV14" s="70"/>
      <c r="AW14" s="70"/>
    </row>
    <row r="15" s="1" customFormat="true" ht="15" hidden="false" customHeight="true" outlineLevel="0" collapsed="false">
      <c r="B15" s="62" t="s">
        <v>94</v>
      </c>
      <c r="C15" s="63" t="n">
        <f aca="false">VLOOKUP($B15,Unidades!$D$5:$N$29,6,FALSE())</f>
        <v>334.4</v>
      </c>
      <c r="D15" s="63" t="n">
        <f aca="false">VLOOKUP($B15,Unidades!$D$5:$N$29,7,FALSE())</f>
        <v>296</v>
      </c>
      <c r="E15" s="63" t="n">
        <f aca="false">VLOOKUP($B15,Unidades!$D$5:$N$29,8,FALSE())</f>
        <v>38.4</v>
      </c>
      <c r="F15" s="63" t="n">
        <f aca="false">VLOOKUP($B15,Unidades!$D$5:$N$29,9,FALSE())</f>
        <v>0</v>
      </c>
      <c r="G15" s="63" t="n">
        <f aca="false">D15+E15*$E$6+F15*$F$6</f>
        <v>309.44</v>
      </c>
      <c r="H15" s="64" t="n">
        <f aca="false">IF(G15&lt;750,1.5,IF(G15&lt;2000,2,3))</f>
        <v>1.5</v>
      </c>
      <c r="I15" s="64" t="n">
        <f aca="false">$I$6*H15</f>
        <v>1.8</v>
      </c>
      <c r="J15" s="64" t="str">
        <f aca="false">VLOOKUP($B15,Unidades!$D$5:$N$29,10,FALSE())</f>
        <v>NÃO</v>
      </c>
      <c r="K15" s="64" t="str">
        <f aca="false">VLOOKUP($B15,Unidades!$D$5:$N$29,11,FALSE())</f>
        <v>NÃO</v>
      </c>
      <c r="L15" s="64" t="n">
        <f aca="false">$L$6*H15+(IF(J15="SIM",$J$6,0))</f>
        <v>1.65</v>
      </c>
      <c r="M15" s="64" t="n">
        <f aca="false">$M$6*H15+(IF(J15="SIM",$J$6,0))+(IF(K15="SIM",$K$6,0))</f>
        <v>1.65</v>
      </c>
      <c r="N15" s="64" t="n">
        <f aca="false">H15*12+I15*4+L15*2+M15</f>
        <v>30.15</v>
      </c>
      <c r="O15" s="65" t="n">
        <f aca="false">IF(K15="não", N15*(C$23+D$23),N15*(C$23+D$23)+(M15*+E$23))</f>
        <v>1873.2195</v>
      </c>
      <c r="P15" s="66"/>
      <c r="Q15" s="23" t="str">
        <f aca="false">B15</f>
        <v>APS PAIÇANDU</v>
      </c>
      <c r="R15" s="25" t="n">
        <f aca="false">H15*($C$23+$D$23)</f>
        <v>93.195</v>
      </c>
      <c r="S15" s="25" t="n">
        <f aca="false">I15*($C$23+$D$23)</f>
        <v>111.834</v>
      </c>
      <c r="T15" s="25" t="n">
        <f aca="false">L15*($C$23+$D$23)</f>
        <v>102.5145</v>
      </c>
      <c r="U15" s="25" t="n">
        <f aca="false">IF(K15="não",M15*($C$23+$D$23),M15*(C$23+D$23+E$23))</f>
        <v>102.5145</v>
      </c>
      <c r="V15" s="25" t="n">
        <f aca="false">VLOOKUP(Q15,'Desl. Base Maringá'!$C$5:$S$17,13,FALSE())*($C$23+$D$23+$E$23*(VLOOKUP(Q15,'Desl. Base Maringá'!$C$5:$S$17,17,FALSE())/12))</f>
        <v>79.21575</v>
      </c>
      <c r="W15" s="25" t="n">
        <f aca="false">VLOOKUP(Q15,'Desl. Base Maringá'!$C$5:$Q$17,15,FALSE())*(2+(VLOOKUP(Q15,'Desl. Base Maringá'!$C$5:$S$17,17,FALSE())/12))</f>
        <v>0</v>
      </c>
      <c r="X15" s="25" t="n">
        <f aca="false">VLOOKUP(Q15,'Desl. Base Maringá'!$C$5:$Q$17,14,FALSE())</f>
        <v>0</v>
      </c>
      <c r="Y15" s="25" t="n">
        <f aca="false">VLOOKUP(Q15,'Desl. Base Maringá'!$C$5:$Q$17,13,FALSE())*'Desl. Base Maringá'!$E$22+'Desl. Base Maringá'!$E$23*N15/12</f>
        <v>84.641625</v>
      </c>
      <c r="Z15" s="25" t="n">
        <f aca="false">(H15/$AC$5)*'Equipe Técnica'!$C$13</f>
        <v>276.809578468237</v>
      </c>
      <c r="AA15" s="25" t="n">
        <f aca="false">(I15/$AC$5)*'Equipe Técnica'!$C$13</f>
        <v>332.171494161884</v>
      </c>
      <c r="AB15" s="25" t="n">
        <f aca="false">(L15/$AC$5)*'Equipe Técnica'!$C$13</f>
        <v>304.49053631506</v>
      </c>
      <c r="AC15" s="25" t="n">
        <f aca="false">(M15/$AC$5)*'Equipe Técnica'!$C$13</f>
        <v>304.49053631506</v>
      </c>
      <c r="AD15" s="25" t="n">
        <f aca="false">R15+(($V15+$W15+$X15+$Y15)*12/19)+$Z15</f>
        <v>473.493446889289</v>
      </c>
      <c r="AE15" s="25" t="n">
        <f aca="false">S15+(($V15+$W15+$X15+$Y15)*12/19)+$AA15</f>
        <v>547.494362582937</v>
      </c>
      <c r="AF15" s="25" t="n">
        <f aca="false">T15+(($V15+$W15+$X15+$Y15)*12/19)+$AB15</f>
        <v>510.493904736113</v>
      </c>
      <c r="AG15" s="25" t="n">
        <f aca="false">U15+(($V15+$W15+$X15+$Y15)*12/19)+$AC15</f>
        <v>510.493904736113</v>
      </c>
      <c r="AI15" s="23" t="str">
        <f aca="false">B15</f>
        <v>APS PAIÇANDU</v>
      </c>
      <c r="AJ15" s="67" t="n">
        <f aca="false">VLOOKUP(AI15,Unidades!D$5:H$29,5,)</f>
        <v>0.2354</v>
      </c>
      <c r="AK15" s="46" t="n">
        <f aca="false">AD15*(1+$AJ15)</f>
        <v>584.953804287028</v>
      </c>
      <c r="AL15" s="46" t="n">
        <f aca="false">AE15*(1+$AJ15)</f>
        <v>676.37453553496</v>
      </c>
      <c r="AM15" s="46" t="n">
        <f aca="false">AF15*(1+$AJ15)</f>
        <v>630.664169910994</v>
      </c>
      <c r="AN15" s="46" t="n">
        <f aca="false">AG15*(1+$AJ15)</f>
        <v>630.664169910994</v>
      </c>
      <c r="AO15" s="46" t="n">
        <f aca="false">((AK15*12)+(AL15*4)+(AM15*2)+AN15)/12</f>
        <v>968.07802527643</v>
      </c>
      <c r="AP15" s="46" t="n">
        <f aca="false">AO15*3</f>
        <v>2904.23407582929</v>
      </c>
      <c r="AQ15" s="46" t="n">
        <f aca="false">AO15+AP15</f>
        <v>3872.31210110572</v>
      </c>
      <c r="AR15" s="68"/>
      <c r="AS15" s="71" t="s">
        <v>95</v>
      </c>
      <c r="AT15" s="46" t="n">
        <f aca="false">AT11+AT13</f>
        <v>802765.170920002</v>
      </c>
      <c r="AU15" s="46"/>
      <c r="AV15" s="68"/>
      <c r="AW15" s="68"/>
    </row>
    <row r="16" s="1" customFormat="true" ht="15" hidden="false" customHeight="true" outlineLevel="0" collapsed="false">
      <c r="B16" s="62" t="s">
        <v>96</v>
      </c>
      <c r="C16" s="63" t="n">
        <f aca="false">VLOOKUP($B16,Unidades!$D$5:$N$29,6,FALSE())</f>
        <v>2638.17</v>
      </c>
      <c r="D16" s="63" t="n">
        <f aca="false">VLOOKUP($B16,Unidades!$D$5:$N$29,7,FALSE())</f>
        <v>1217.05</v>
      </c>
      <c r="E16" s="63" t="n">
        <f aca="false">VLOOKUP($B16,Unidades!$D$5:$N$29,8,FALSE())</f>
        <v>346.5</v>
      </c>
      <c r="F16" s="63" t="n">
        <f aca="false">VLOOKUP($B16,Unidades!$D$5:$N$29,9,FALSE())</f>
        <v>1074.62</v>
      </c>
      <c r="G16" s="63" t="n">
        <f aca="false">D16+E16*$E$6+F16*$F$6</f>
        <v>1445.787</v>
      </c>
      <c r="H16" s="64" t="n">
        <f aca="false">IF(G16&lt;750,1.5,IF(G16&lt;2000,2,3))</f>
        <v>2</v>
      </c>
      <c r="I16" s="64" t="n">
        <f aca="false">$I$6*H16</f>
        <v>2.4</v>
      </c>
      <c r="J16" s="64" t="str">
        <f aca="false">VLOOKUP($B16,Unidades!$D$5:$N$29,10,FALSE())</f>
        <v>SIM</v>
      </c>
      <c r="K16" s="64" t="str">
        <f aca="false">VLOOKUP($B16,Unidades!$D$5:$N$29,11,FALSE())</f>
        <v>SIM</v>
      </c>
      <c r="L16" s="64" t="n">
        <f aca="false">$L$6*H16+(IF(J16="SIM",$J$6,0))</f>
        <v>4.2</v>
      </c>
      <c r="M16" s="64" t="n">
        <f aca="false">$M$6*H16+(IF(J16="SIM",$J$6,0))+(IF(K16="SIM",$K$6,0))</f>
        <v>8.2</v>
      </c>
      <c r="N16" s="64" t="n">
        <f aca="false">H16*12+I16*4+L16*2+M16</f>
        <v>50.2</v>
      </c>
      <c r="O16" s="65" t="n">
        <f aca="false">IF(K16="não", N16*(C$23+D$23),N16*(C$23+D$23)+(M16*+E$23))</f>
        <v>3455.946</v>
      </c>
      <c r="P16" s="66"/>
      <c r="Q16" s="23" t="str">
        <f aca="false">B16</f>
        <v>APS PARANAVAÍ</v>
      </c>
      <c r="R16" s="25" t="n">
        <f aca="false">H16*($C$23+$D$23)</f>
        <v>124.26</v>
      </c>
      <c r="S16" s="25" t="n">
        <f aca="false">I16*($C$23+$D$23)</f>
        <v>149.112</v>
      </c>
      <c r="T16" s="25" t="n">
        <f aca="false">L16*($C$23+$D$23)</f>
        <v>260.946</v>
      </c>
      <c r="U16" s="25" t="n">
        <f aca="false">IF(K16="não",M16*($C$23+$D$23),M16*(C$23+D$23+E$23))</f>
        <v>846.486</v>
      </c>
      <c r="V16" s="25" t="n">
        <f aca="false">VLOOKUP(Q16,'Desl. Base Maringá'!$C$5:$S$17,13,FALSE())*($C$23+$D$23+$E$23*(VLOOKUP(Q16,'Desl. Base Maringá'!$C$5:$S$17,17,FALSE())/12))</f>
        <v>78.1197083333333</v>
      </c>
      <c r="W16" s="25" t="n">
        <f aca="false">VLOOKUP(Q16,'Desl. Base Maringá'!$C$5:$Q$17,15,FALSE())*(2+(VLOOKUP(Q16,'Desl. Base Maringá'!$C$5:$S$17,17,FALSE())/12))</f>
        <v>0</v>
      </c>
      <c r="X16" s="25" t="n">
        <f aca="false">VLOOKUP(Q16,'Desl. Base Maringá'!$C$5:$Q$17,14,FALSE())</f>
        <v>0</v>
      </c>
      <c r="Y16" s="25" t="n">
        <f aca="false">VLOOKUP(Q16,'Desl. Base Maringá'!$C$5:$Q$17,13,FALSE())*'Desl. Base Maringá'!$E$22+'Desl. Base Maringá'!$E$23*N16/12</f>
        <v>91.8630833333334</v>
      </c>
      <c r="Z16" s="25" t="n">
        <f aca="false">(H16/$AC$5)*'Equipe Técnica'!$C$13</f>
        <v>369.079437957649</v>
      </c>
      <c r="AA16" s="25" t="n">
        <f aca="false">(I16/$AC$5)*'Equipe Técnica'!$C$13</f>
        <v>442.895325549179</v>
      </c>
      <c r="AB16" s="25" t="n">
        <f aca="false">(L16/$AC$5)*'Equipe Técnica'!$C$13</f>
        <v>775.066819711063</v>
      </c>
      <c r="AC16" s="25" t="n">
        <f aca="false">(M16/$AC$5)*'Equipe Técnica'!$C$13</f>
        <v>1513.22569562636</v>
      </c>
      <c r="AD16" s="25" t="n">
        <f aca="false">R16+(($V16+$W16+$X16+$Y16)*12/19)+$Z16</f>
        <v>600.696990589228</v>
      </c>
      <c r="AE16" s="25" t="n">
        <f aca="false">S16+(($V16+$W16+$X16+$Y16)*12/19)+$AA16</f>
        <v>699.364878180758</v>
      </c>
      <c r="AF16" s="25" t="n">
        <f aca="false">T16+(($V16+$W16+$X16+$Y16)*12/19)+$AB16</f>
        <v>1143.37037234264</v>
      </c>
      <c r="AG16" s="25" t="n">
        <f aca="false">U16+(($V16+$W16+$X16+$Y16)*12/19)+$AC16</f>
        <v>2467.06924825794</v>
      </c>
      <c r="AI16" s="23" t="str">
        <f aca="false">B16</f>
        <v>APS PARANAVAÍ</v>
      </c>
      <c r="AJ16" s="67" t="n">
        <f aca="false">VLOOKUP(AI16,Unidades!D$5:H$29,5,)</f>
        <v>0.2487</v>
      </c>
      <c r="AK16" s="46" t="n">
        <f aca="false">AD16*(1+$AJ16)</f>
        <v>750.090332148769</v>
      </c>
      <c r="AL16" s="46" t="n">
        <f aca="false">AE16*(1+$AJ16)</f>
        <v>873.296923384312</v>
      </c>
      <c r="AM16" s="46" t="n">
        <f aca="false">AF16*(1+$AJ16)</f>
        <v>1427.72658394426</v>
      </c>
      <c r="AN16" s="46" t="n">
        <f aca="false">AG16*(1+$AJ16)</f>
        <v>3080.62937029969</v>
      </c>
      <c r="AO16" s="46" t="n">
        <f aca="false">((AK16*12)+(AL16*4)+(AM16*2)+AN16)/12</f>
        <v>1535.86285145922</v>
      </c>
      <c r="AP16" s="46" t="n">
        <f aca="false">AO16*3</f>
        <v>4607.58855437767</v>
      </c>
      <c r="AQ16" s="46" t="n">
        <f aca="false">AO16+AP16</f>
        <v>6143.45140583689</v>
      </c>
      <c r="AR16" s="68"/>
      <c r="AS16" s="68"/>
      <c r="AT16" s="68"/>
      <c r="AU16" s="68"/>
      <c r="AV16" s="68"/>
      <c r="AW16" s="68"/>
    </row>
    <row r="17" s="1" customFormat="true" ht="15" hidden="false" customHeight="true" outlineLevel="0" collapsed="false">
      <c r="B17" s="62" t="s">
        <v>97</v>
      </c>
      <c r="C17" s="63" t="n">
        <f aca="false">VLOOKUP($B17,Unidades!$D$5:$N$29,6,FALSE())</f>
        <v>3345.5</v>
      </c>
      <c r="D17" s="63" t="n">
        <f aca="false">VLOOKUP($B17,Unidades!$D$5:$N$29,7,FALSE())</f>
        <v>2007</v>
      </c>
      <c r="E17" s="63" t="n">
        <f aca="false">VLOOKUP($B17,Unidades!$D$5:$N$29,8,FALSE())</f>
        <v>1003.5</v>
      </c>
      <c r="F17" s="63" t="n">
        <f aca="false">VLOOKUP($B17,Unidades!$D$5:$N$29,9,FALSE())</f>
        <v>335</v>
      </c>
      <c r="G17" s="63" t="n">
        <f aca="false">D17+E17*$E$6+F17*$F$6</f>
        <v>2391.725</v>
      </c>
      <c r="H17" s="64" t="n">
        <f aca="false">IF(G17&lt;750,1.5,IF(G17&lt;2000,2,3))</f>
        <v>3</v>
      </c>
      <c r="I17" s="64" t="n">
        <f aca="false">$I$6*H17</f>
        <v>3.6</v>
      </c>
      <c r="J17" s="64" t="str">
        <f aca="false">VLOOKUP($B17,Unidades!$D$5:$N$29,10,FALSE())</f>
        <v>SIM</v>
      </c>
      <c r="K17" s="64" t="str">
        <f aca="false">VLOOKUP($B17,Unidades!$D$5:$N$29,11,FALSE())</f>
        <v>SIM</v>
      </c>
      <c r="L17" s="64" t="n">
        <f aca="false">$L$6*H17+(IF(J17="SIM",$J$6,0))</f>
        <v>5.3</v>
      </c>
      <c r="M17" s="64" t="n">
        <f aca="false">$M$6*H17+(IF(J17="SIM",$J$6,0))+(IF(K17="SIM",$K$6,0))</f>
        <v>9.3</v>
      </c>
      <c r="N17" s="64" t="n">
        <f aca="false">H17*12+I17*4+L17*2+M17</f>
        <v>70.3</v>
      </c>
      <c r="O17" s="65" t="n">
        <f aca="false">IF(K17="não", N17*(C$23+D$23),N17*(C$23+D$23)+(M17*+E$23))</f>
        <v>4749.969</v>
      </c>
      <c r="P17" s="66"/>
      <c r="Q17" s="23" t="str">
        <f aca="false">B17</f>
        <v>APS UMUARAMA</v>
      </c>
      <c r="R17" s="25" t="n">
        <f aca="false">H17*($C$23+$D$23)</f>
        <v>186.39</v>
      </c>
      <c r="S17" s="25" t="n">
        <f aca="false">I17*($C$23+$D$23)</f>
        <v>223.668</v>
      </c>
      <c r="T17" s="25" t="n">
        <f aca="false">L17*($C$23+$D$23)</f>
        <v>329.289</v>
      </c>
      <c r="U17" s="25" t="n">
        <f aca="false">IF(K17="não",M17*($C$23+$D$23),M17*(C$23+D$23+E$23))</f>
        <v>960.039</v>
      </c>
      <c r="V17" s="25" t="n">
        <f aca="false">VLOOKUP(Q17,'Desl. Base Maringá'!$C$5:$S$17,13,FALSE())*($C$23+$D$23+$E$23*(VLOOKUP(Q17,'Desl. Base Maringá'!$C$5:$S$17,17,FALSE())/12))</f>
        <v>156.239416666667</v>
      </c>
      <c r="W17" s="25" t="n">
        <f aca="false">VLOOKUP(Q17,'Desl. Base Maringá'!$C$5:$Q$17,15,FALSE())*(2+(VLOOKUP(Q17,'Desl. Base Maringá'!$C$5:$S$17,17,FALSE())/12))</f>
        <v>0</v>
      </c>
      <c r="X17" s="25" t="n">
        <f aca="false">VLOOKUP(Q17,'Desl. Base Maringá'!$C$5:$Q$17,14,FALSE())</f>
        <v>0</v>
      </c>
      <c r="Y17" s="25" t="n">
        <f aca="false">VLOOKUP(Q17,'Desl. Base Maringá'!$C$5:$Q$17,13,FALSE())*'Desl. Base Maringá'!$E$22+'Desl. Base Maringá'!$E$23*N17/12</f>
        <v>166.29325</v>
      </c>
      <c r="Z17" s="25" t="n">
        <f aca="false">(H17/$AC$5)*'Equipe Técnica'!$C$13</f>
        <v>553.619156936474</v>
      </c>
      <c r="AA17" s="25" t="n">
        <f aca="false">(I17/$AC$5)*'Equipe Técnica'!$C$13</f>
        <v>664.342988323768</v>
      </c>
      <c r="AB17" s="25" t="n">
        <f aca="false">(L17/$AC$5)*'Equipe Técnica'!$C$13</f>
        <v>978.06051058777</v>
      </c>
      <c r="AC17" s="25" t="n">
        <f aca="false">(M17/$AC$5)*'Equipe Técnica'!$C$13</f>
        <v>1716.21938650307</v>
      </c>
      <c r="AD17" s="25" t="n">
        <f aca="false">R17+(($V17+$W17+$X17+$Y17)*12/19)+$Z17</f>
        <v>943.713999041737</v>
      </c>
      <c r="AE17" s="25" t="n">
        <f aca="false">S17+(($V17+$W17+$X17+$Y17)*12/19)+$AA17</f>
        <v>1091.71583042903</v>
      </c>
      <c r="AF17" s="25" t="n">
        <f aca="false">T17+(($V17+$W17+$X17+$Y17)*12/19)+$AB17</f>
        <v>1511.05435269303</v>
      </c>
      <c r="AG17" s="25" t="n">
        <f aca="false">U17+(($V17+$W17+$X17+$Y17)*12/19)+$AC17</f>
        <v>2879.96322860833</v>
      </c>
      <c r="AI17" s="23" t="str">
        <f aca="false">B17</f>
        <v>APS UMUARAMA</v>
      </c>
      <c r="AJ17" s="67" t="n">
        <f aca="false">VLOOKUP(AI17,Unidades!D$5:H$29,5,)</f>
        <v>0.2223</v>
      </c>
      <c r="AK17" s="46" t="n">
        <f aca="false">AD17*(1+$AJ17)</f>
        <v>1153.50162102871</v>
      </c>
      <c r="AL17" s="46" t="n">
        <f aca="false">AE17*(1+$AJ17)</f>
        <v>1334.4042595334</v>
      </c>
      <c r="AM17" s="46" t="n">
        <f aca="false">AF17*(1+$AJ17)</f>
        <v>1846.96173529669</v>
      </c>
      <c r="AN17" s="46" t="n">
        <f aca="false">AG17*(1+$AJ17)</f>
        <v>3520.17905432796</v>
      </c>
      <c r="AO17" s="46" t="n">
        <f aca="false">((AK17*12)+(AL17*4)+(AM17*2)+AN17)/12</f>
        <v>2199.4782512833</v>
      </c>
      <c r="AP17" s="46" t="n">
        <f aca="false">AO17*3</f>
        <v>6598.43475384989</v>
      </c>
      <c r="AQ17" s="46" t="n">
        <f aca="false">AO17+AP17</f>
        <v>8797.91300513318</v>
      </c>
      <c r="AR17" s="68"/>
      <c r="AS17" s="68"/>
      <c r="AT17" s="68"/>
      <c r="AU17" s="68"/>
      <c r="AV17" s="68"/>
      <c r="AW17" s="68"/>
    </row>
    <row r="18" s="1" customFormat="true" ht="15" hidden="false" customHeight="true" outlineLevel="0" collapsed="false">
      <c r="B18" s="62" t="s">
        <v>98</v>
      </c>
      <c r="C18" s="63" t="n">
        <f aca="false">VLOOKUP($B18,Unidades!$D$5:$N$29,6,FALSE())</f>
        <v>1122</v>
      </c>
      <c r="D18" s="63" t="n">
        <f aca="false">VLOOKUP($B18,Unidades!$D$5:$N$29,7,FALSE())</f>
        <v>882</v>
      </c>
      <c r="E18" s="63" t="n">
        <f aca="false">VLOOKUP($B18,Unidades!$D$5:$N$29,8,FALSE())</f>
        <v>240</v>
      </c>
      <c r="F18" s="63" t="n">
        <f aca="false">VLOOKUP($B18,Unidades!$D$5:$N$29,9,FALSE())</f>
        <v>0</v>
      </c>
      <c r="G18" s="63" t="n">
        <f aca="false">D18+E18*$E$6+F18*$F$6</f>
        <v>966</v>
      </c>
      <c r="H18" s="64" t="n">
        <f aca="false">IF(G18&lt;750,1.5,IF(G18&lt;2000,2,3))</f>
        <v>2</v>
      </c>
      <c r="I18" s="64" t="n">
        <f aca="false">$I$6*H18</f>
        <v>2.4</v>
      </c>
      <c r="J18" s="64" t="str">
        <f aca="false">VLOOKUP($B18,Unidades!$D$5:$N$29,10,FALSE())</f>
        <v>NÃO</v>
      </c>
      <c r="K18" s="64" t="str">
        <f aca="false">VLOOKUP($B18,Unidades!$D$5:$N$29,11,FALSE())</f>
        <v>NÃO</v>
      </c>
      <c r="L18" s="64" t="n">
        <f aca="false">$L$6*H18+(IF(J18="SIM",$J$6,0))</f>
        <v>2.2</v>
      </c>
      <c r="M18" s="64" t="n">
        <f aca="false">$M$6*H18+(IF(J18="SIM",$J$6,0))+(IF(K18="SIM",$K$6,0))</f>
        <v>2.2</v>
      </c>
      <c r="N18" s="64" t="n">
        <f aca="false">H18*12+I18*4+L18*2+M18</f>
        <v>40.2</v>
      </c>
      <c r="O18" s="65" t="n">
        <f aca="false">IF(K18="não", N18*(C$23+D$23),N18*(C$23+D$23)+(M18*+E$23))</f>
        <v>2497.626</v>
      </c>
      <c r="P18" s="66"/>
      <c r="Q18" s="23" t="str">
        <f aca="false">B18</f>
        <v>CEDOCPREV MARINGÁ</v>
      </c>
      <c r="R18" s="25" t="n">
        <f aca="false">H18*($C$23+$D$23)</f>
        <v>124.26</v>
      </c>
      <c r="S18" s="25" t="n">
        <f aca="false">I18*($C$23+$D$23)</f>
        <v>149.112</v>
      </c>
      <c r="T18" s="25" t="n">
        <f aca="false">L18*($C$23+$D$23)</f>
        <v>136.686</v>
      </c>
      <c r="U18" s="25" t="n">
        <f aca="false">IF(K18="não",M18*($C$23+$D$23),M18*(C$23+D$23+E$23))</f>
        <v>136.686</v>
      </c>
      <c r="V18" s="25" t="n">
        <f aca="false">VLOOKUP(Q18,'Desl. Base Maringá'!$C$5:$S$17,13,FALSE())*($C$23+$D$23+$E$23*(VLOOKUP(Q18,'Desl. Base Maringá'!$C$5:$S$17,17,FALSE())/12))</f>
        <v>46.5975</v>
      </c>
      <c r="W18" s="25" t="n">
        <f aca="false">VLOOKUP(Q18,'Desl. Base Maringá'!$C$5:$Q$17,15,FALSE())*(2+(VLOOKUP(Q18,'Desl. Base Maringá'!$C$5:$S$17,17,FALSE())/12))</f>
        <v>0</v>
      </c>
      <c r="X18" s="25" t="n">
        <f aca="false">VLOOKUP(Q18,'Desl. Base Maringá'!$C$5:$Q$17,14,FALSE())</f>
        <v>0</v>
      </c>
      <c r="Y18" s="25" t="n">
        <f aca="false">VLOOKUP(Q18,'Desl. Base Maringá'!$C$5:$Q$17,13,FALSE())*'Desl. Base Maringá'!$E$22+'Desl. Base Maringá'!$E$23*N18/12</f>
        <v>62.8</v>
      </c>
      <c r="Z18" s="25" t="n">
        <f aca="false">(H18/$AC$5)*'Equipe Técnica'!$C$13</f>
        <v>369.079437957649</v>
      </c>
      <c r="AA18" s="25" t="n">
        <f aca="false">(I18/$AC$5)*'Equipe Técnica'!$C$13</f>
        <v>442.895325549179</v>
      </c>
      <c r="AB18" s="25" t="n">
        <f aca="false">(L18/$AC$5)*'Equipe Técnica'!$C$13</f>
        <v>405.987381753414</v>
      </c>
      <c r="AC18" s="25" t="n">
        <f aca="false">(M18/$AC$5)*'Equipe Técnica'!$C$13</f>
        <v>405.987381753414</v>
      </c>
      <c r="AD18" s="25" t="n">
        <f aca="false">R18+(($V18+$W18+$X18+$Y18)*12/19)+$Z18</f>
        <v>562.432595852386</v>
      </c>
      <c r="AE18" s="25" t="n">
        <f aca="false">S18+(($V18+$W18+$X18+$Y18)*12/19)+$AA18</f>
        <v>661.100483443916</v>
      </c>
      <c r="AF18" s="25" t="n">
        <f aca="false">T18+(($V18+$W18+$X18+$Y18)*12/19)+$AB18</f>
        <v>611.766539648151</v>
      </c>
      <c r="AG18" s="25" t="n">
        <f aca="false">U18+(($V18+$W18+$X18+$Y18)*12/19)+$AC18</f>
        <v>611.766539648151</v>
      </c>
      <c r="AI18" s="23" t="str">
        <f aca="false">B18</f>
        <v>CEDOCPREV MARINGÁ</v>
      </c>
      <c r="AJ18" s="67" t="n">
        <f aca="false">VLOOKUP(AI18,Unidades!D$5:H$29,5,)</f>
        <v>0.2354</v>
      </c>
      <c r="AK18" s="46" t="n">
        <f aca="false">AD18*(1+$AJ18)</f>
        <v>694.829228916037</v>
      </c>
      <c r="AL18" s="46" t="n">
        <f aca="false">AE18*(1+$AJ18)</f>
        <v>816.723537246613</v>
      </c>
      <c r="AM18" s="46" t="n">
        <f aca="false">AF18*(1+$AJ18)</f>
        <v>755.776383081325</v>
      </c>
      <c r="AN18" s="46" t="n">
        <f aca="false">AG18*(1+$AJ18)</f>
        <v>755.776383081325</v>
      </c>
      <c r="AO18" s="46" t="n">
        <f aca="false">((AK18*12)+(AL18*4)+(AM18*2)+AN18)/12</f>
        <v>1156.01450376857</v>
      </c>
      <c r="AP18" s="46" t="n">
        <f aca="false">AO18*3</f>
        <v>3468.04351130572</v>
      </c>
      <c r="AQ18" s="46" t="n">
        <f aca="false">AO18+AP18</f>
        <v>4624.05801507429</v>
      </c>
      <c r="AR18" s="68"/>
      <c r="AS18" s="68"/>
      <c r="AT18" s="68"/>
      <c r="AU18" s="68"/>
      <c r="AV18" s="68"/>
      <c r="AW18" s="68"/>
    </row>
    <row r="19" s="1" customFormat="true" ht="15" hidden="false" customHeight="true" outlineLevel="0" collapsed="false">
      <c r="B19" s="62" t="s">
        <v>99</v>
      </c>
      <c r="C19" s="63" t="n">
        <f aca="false">VLOOKUP($B19,Unidades!$D$5:$N$29,6,FALSE())</f>
        <v>3140.36</v>
      </c>
      <c r="D19" s="63" t="n">
        <f aca="false">VLOOKUP($B19,Unidades!$D$5:$N$29,7,FALSE())</f>
        <v>2714.7</v>
      </c>
      <c r="E19" s="63" t="n">
        <f aca="false">VLOOKUP($B19,Unidades!$D$5:$N$29,8,FALSE())</f>
        <v>425.66</v>
      </c>
      <c r="F19" s="63" t="n">
        <f aca="false">VLOOKUP($B19,Unidades!$D$5:$N$29,9,FALSE())</f>
        <v>0</v>
      </c>
      <c r="G19" s="63" t="n">
        <f aca="false">D19+E19*$E$6+F19*$F$6</f>
        <v>2863.681</v>
      </c>
      <c r="H19" s="64" t="n">
        <f aca="false">IF(G19&lt;750,1.5,IF(G19&lt;2000,2,3))</f>
        <v>3</v>
      </c>
      <c r="I19" s="64" t="n">
        <f aca="false">$I$6*H19</f>
        <v>3.6</v>
      </c>
      <c r="J19" s="64" t="str">
        <f aca="false">VLOOKUP($B19,Unidades!$D$5:$N$29,10,FALSE())</f>
        <v>SIM</v>
      </c>
      <c r="K19" s="64" t="str">
        <f aca="false">VLOOKUP($B19,Unidades!$D$5:$N$29,11,FALSE())</f>
        <v>SIM</v>
      </c>
      <c r="L19" s="64" t="n">
        <f aca="false">$L$6*H19+(IF(J19="SIM",$J$6,0))</f>
        <v>5.3</v>
      </c>
      <c r="M19" s="64" t="n">
        <f aca="false">$M$6*H19+(IF(J19="SIM",$J$6,0))+(IF(K19="SIM",$K$6,0))</f>
        <v>9.3</v>
      </c>
      <c r="N19" s="64" t="n">
        <f aca="false">H19*12+I19*4+L19*2+M19</f>
        <v>70.3</v>
      </c>
      <c r="O19" s="65" t="n">
        <f aca="false">IF(K19="não", N19*(C$23+D$23),N19*(C$23+D$23)+(M19*+E$23))</f>
        <v>4749.969</v>
      </c>
      <c r="P19" s="66"/>
      <c r="Q19" s="23" t="str">
        <f aca="false">B19</f>
        <v>GEX/APS MARINGÁ</v>
      </c>
      <c r="R19" s="25" t="n">
        <f aca="false">H19*($C$23+$D$23)</f>
        <v>186.39</v>
      </c>
      <c r="S19" s="25" t="n">
        <f aca="false">I19*($C$23+$D$23)</f>
        <v>223.668</v>
      </c>
      <c r="T19" s="25" t="n">
        <f aca="false">L19*($C$23+$D$23)</f>
        <v>329.289</v>
      </c>
      <c r="U19" s="25" t="n">
        <f aca="false">IF(K19="não",M19*($C$23+$D$23),M19*(C$23+D$23+E$23))</f>
        <v>960.039</v>
      </c>
      <c r="V19" s="25" t="n">
        <f aca="false">VLOOKUP(Q19,'Desl. Base Maringá'!$C$5:$S$17,13,FALSE())*($C$23+$D$23+$E$23*(VLOOKUP(Q19,'Desl. Base Maringá'!$C$5:$S$17,17,FALSE())/12))</f>
        <v>0</v>
      </c>
      <c r="W19" s="25" t="n">
        <f aca="false">VLOOKUP(Q19,'Desl. Base Maringá'!$C$5:$Q$17,15,FALSE())*(2+(VLOOKUP(Q19,'Desl. Base Maringá'!$C$5:$S$17,17,FALSE())/12))</f>
        <v>0</v>
      </c>
      <c r="X19" s="25" t="n">
        <f aca="false">VLOOKUP(Q19,'Desl. Base Maringá'!$C$5:$Q$17,14,FALSE())</f>
        <v>0</v>
      </c>
      <c r="Y19" s="25" t="n">
        <f aca="false">VLOOKUP(Q19,'Desl. Base Maringá'!$C$5:$Q$17,13,FALSE())*'Desl. Base Maringá'!$E$22+'Desl. Base Maringá'!$E$23*N19/12</f>
        <v>40.7154166666667</v>
      </c>
      <c r="Z19" s="25" t="n">
        <f aca="false">(H19/$AC$5)*'Equipe Técnica'!$C$13</f>
        <v>553.619156936474</v>
      </c>
      <c r="AA19" s="25" t="n">
        <f aca="false">(I19/$AC$5)*'Equipe Técnica'!$C$13</f>
        <v>664.342988323768</v>
      </c>
      <c r="AB19" s="25" t="n">
        <f aca="false">(L19/$AC$5)*'Equipe Técnica'!$C$13</f>
        <v>978.06051058777</v>
      </c>
      <c r="AC19" s="25" t="n">
        <f aca="false">(M19/$AC$5)*'Equipe Técnica'!$C$13</f>
        <v>1716.21938650307</v>
      </c>
      <c r="AD19" s="25" t="n">
        <f aca="false">R19+(($V19+$W19+$X19+$Y19)*12/19)+$Z19</f>
        <v>765.724156936474</v>
      </c>
      <c r="AE19" s="25" t="n">
        <f aca="false">S19+(($V19+$W19+$X19+$Y19)*12/19)+$AA19</f>
        <v>913.725988323768</v>
      </c>
      <c r="AF19" s="25" t="n">
        <f aca="false">T19+(($V19+$W19+$X19+$Y19)*12/19)+$AB19</f>
        <v>1333.06451058777</v>
      </c>
      <c r="AG19" s="25" t="n">
        <f aca="false">U19+(($V19+$W19+$X19+$Y19)*12/19)+$AC19</f>
        <v>2701.97338650307</v>
      </c>
      <c r="AI19" s="23" t="str">
        <f aca="false">B19</f>
        <v>GEX/APS MARINGÁ</v>
      </c>
      <c r="AJ19" s="67" t="n">
        <f aca="false">VLOOKUP(AI19,Unidades!D$5:H$29,5,)</f>
        <v>0.2354</v>
      </c>
      <c r="AK19" s="46" t="n">
        <f aca="false">AD19*(1+$AJ19)</f>
        <v>945.975623479319</v>
      </c>
      <c r="AL19" s="46" t="n">
        <f aca="false">AE19*(1+$AJ19)</f>
        <v>1128.81708597518</v>
      </c>
      <c r="AM19" s="46" t="n">
        <f aca="false">AF19*(1+$AJ19)</f>
        <v>1646.86789638013</v>
      </c>
      <c r="AN19" s="46" t="n">
        <f aca="false">AG19*(1+$AJ19)</f>
        <v>3338.01792168589</v>
      </c>
      <c r="AO19" s="46" t="n">
        <f aca="false">((AK19*12)+(AL19*4)+(AM19*2)+AN19)/12</f>
        <v>1874.89412834156</v>
      </c>
      <c r="AP19" s="46" t="n">
        <f aca="false">AO19*3</f>
        <v>5624.68238502468</v>
      </c>
      <c r="AQ19" s="46" t="n">
        <f aca="false">AO19+AP19</f>
        <v>7499.57651336624</v>
      </c>
      <c r="AR19" s="68"/>
      <c r="AS19" s="68"/>
      <c r="AT19" s="68"/>
      <c r="AU19" s="68"/>
      <c r="AV19" s="68"/>
      <c r="AW19" s="68"/>
    </row>
    <row r="20" s="53" customFormat="true" ht="19.5" hidden="false" customHeight="true" outlineLevel="0" collapsed="false">
      <c r="B20" s="72" t="s">
        <v>100</v>
      </c>
      <c r="C20" s="73" t="n">
        <f aca="false">SUM(C7:C19)</f>
        <v>16118.64</v>
      </c>
      <c r="D20" s="73" t="n">
        <f aca="false">SUM(D7:D19)</f>
        <v>11037.32</v>
      </c>
      <c r="E20" s="73" t="n">
        <f aca="false">SUM(E7:E19)</f>
        <v>3353.5</v>
      </c>
      <c r="F20" s="73" t="n">
        <f aca="false">SUM(F7:F19)</f>
        <v>1727.82</v>
      </c>
      <c r="G20" s="73" t="n">
        <f aca="false">SUM(G7:G19)</f>
        <v>12383.827</v>
      </c>
      <c r="H20" s="74" t="n">
        <f aca="false">SUM(H7:H19)</f>
        <v>24</v>
      </c>
      <c r="I20" s="74" t="n">
        <f aca="false">SUM(I7:I19)</f>
        <v>28.8</v>
      </c>
      <c r="J20" s="74" t="n">
        <f aca="false">COUNTIF(J7:J19,"SIM")</f>
        <v>4</v>
      </c>
      <c r="K20" s="74" t="n">
        <f aca="false">COUNTIF(K7:K19,"SIM")</f>
        <v>4</v>
      </c>
      <c r="L20" s="74" t="n">
        <f aca="false">SUM(L7:L19)</f>
        <v>34.4</v>
      </c>
      <c r="M20" s="74" t="n">
        <f aca="false">SUM(M7:M19)</f>
        <v>50.4</v>
      </c>
      <c r="N20" s="74" t="n">
        <f aca="false">SUM(N7:N19)</f>
        <v>522.4</v>
      </c>
      <c r="O20" s="75" t="n">
        <f aca="false">SUM(O7:O19)</f>
        <v>33895.212</v>
      </c>
      <c r="P20" s="76"/>
      <c r="Q20" s="74" t="s">
        <v>100</v>
      </c>
      <c r="R20" s="77" t="n">
        <f aca="false">SUM(R7:R19)</f>
        <v>1491.12</v>
      </c>
      <c r="S20" s="77" t="n">
        <f aca="false">SUM(S7:S19)</f>
        <v>1789.344</v>
      </c>
      <c r="T20" s="77" t="n">
        <f aca="false">SUM(T7:T19)</f>
        <v>2137.272</v>
      </c>
      <c r="U20" s="77" t="n">
        <f aca="false">SUM(U7:U19)</f>
        <v>4569.852</v>
      </c>
      <c r="V20" s="77" t="n">
        <f aca="false">SUM(V7:V19)</f>
        <v>1278.06475</v>
      </c>
      <c r="W20" s="77" t="n">
        <f aca="false">SUM(W7:W19)</f>
        <v>0</v>
      </c>
      <c r="X20" s="77" t="n">
        <f aca="false">SUM(X7:X19)</f>
        <v>0</v>
      </c>
      <c r="Y20" s="77" t="n">
        <f aca="false">SUM(Y7:Y19)</f>
        <v>1358.113</v>
      </c>
      <c r="Z20" s="77" t="n">
        <f aca="false">SUM(Z7:Z19)</f>
        <v>4428.95325549179</v>
      </c>
      <c r="AA20" s="77" t="n">
        <f aca="false">SUM(AA7:AA19)</f>
        <v>5314.74390659014</v>
      </c>
      <c r="AB20" s="77" t="n">
        <f aca="false">SUM(AB7:AB19)</f>
        <v>6348.16633287156</v>
      </c>
      <c r="AC20" s="77" t="n">
        <f aca="false">SUM(AC7:AC19)</f>
        <v>9300.80183653275</v>
      </c>
      <c r="AD20" s="77" t="n">
        <f aca="false">SUM(AD7:AD19)</f>
        <v>7585.02762391284</v>
      </c>
      <c r="AE20" s="77" t="n">
        <f aca="false">SUM(AE7:AE19)</f>
        <v>8769.0422750112</v>
      </c>
      <c r="AF20" s="77" t="n">
        <f aca="false">SUM(AF7:AF19)</f>
        <v>10150.3927012926</v>
      </c>
      <c r="AG20" s="77" t="n">
        <f aca="false">SUM(AG7:AG19)</f>
        <v>15535.6082049538</v>
      </c>
      <c r="AI20" s="74" t="s">
        <v>100</v>
      </c>
      <c r="AJ20" s="74"/>
      <c r="AK20" s="78" t="n">
        <f aca="false">SUM(AK7:AK19)</f>
        <v>9399.04047622324</v>
      </c>
      <c r="AL20" s="78" t="n">
        <f aca="false">SUM(AL7:AL19)</f>
        <v>10865.8224929758</v>
      </c>
      <c r="AM20" s="78" t="n">
        <f aca="false">SUM(AM7:AM19)</f>
        <v>12583.7364839235</v>
      </c>
      <c r="AN20" s="78" t="n">
        <f aca="false">SUM(AN7:AN19)</f>
        <v>19272.0440755714</v>
      </c>
      <c r="AO20" s="78" t="n">
        <f aca="false">SUM(AO7:AO19)</f>
        <v>16724.2743941667</v>
      </c>
      <c r="AP20" s="78" t="n">
        <f aca="false">SUM(AP7:AP19)</f>
        <v>50172.8231825001</v>
      </c>
      <c r="AQ20" s="78" t="n">
        <f aca="false">SUM(AQ7:AQ19)</f>
        <v>66897.0975766668</v>
      </c>
    </row>
    <row r="21" customFormat="false" ht="18" hidden="false" customHeight="true" outlineLevel="0" collapsed="false">
      <c r="H21" s="79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54"/>
      <c r="AE21" s="54"/>
      <c r="AF21" s="54"/>
      <c r="AG21" s="54"/>
    </row>
    <row r="22" customFormat="false" ht="39.75" hidden="false" customHeight="true" outlineLevel="0" collapsed="false">
      <c r="B22" s="44" t="s">
        <v>30</v>
      </c>
      <c r="C22" s="81" t="s">
        <v>101</v>
      </c>
      <c r="D22" s="81" t="s">
        <v>102</v>
      </c>
      <c r="E22" s="81" t="s">
        <v>103</v>
      </c>
      <c r="R22" s="82"/>
      <c r="Z22" s="82"/>
      <c r="AA22" s="82"/>
      <c r="AB22" s="82"/>
      <c r="AC22" s="82"/>
    </row>
    <row r="23" customFormat="false" ht="18" hidden="false" customHeight="true" outlineLevel="0" collapsed="false">
      <c r="B23" s="44"/>
      <c r="C23" s="25" t="n">
        <f aca="false">'Comp. Oficial de Manutenção'!D11</f>
        <v>34.79</v>
      </c>
      <c r="D23" s="25" t="n">
        <v>27.34</v>
      </c>
      <c r="E23" s="25" t="n">
        <v>41.1</v>
      </c>
    </row>
    <row r="24" customFormat="false" ht="28.5" hidden="false" customHeight="true" outlineLevel="0" collapsed="false">
      <c r="B24" s="49" t="str">
        <f aca="false">'Equipe Técnica'!B9</f>
        <v>* Tabela SINAPI outubro/2023 (Não Desonerado)</v>
      </c>
    </row>
    <row r="25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0:AJ20"/>
    <mergeCell ref="B22:B23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39"/>
  <sheetViews>
    <sheetView showFormulas="false" showGridLines="false" showRowColHeaders="true" showZeros="true" rightToLeft="false" tabSelected="false" showOutlineSymbols="true" defaultGridColor="true" view="normal" topLeftCell="I1" colorId="64" zoomScale="95" zoomScaleNormal="95" zoomScalePageLayoutView="100" workbookViewId="0">
      <selection pane="topLeft" activeCell="W21" activeCellId="0" sqref="W21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83" width="12.62"/>
    <col collapsed="false" customWidth="true" hidden="false" outlineLevel="0" max="3" min="3" style="83" width="32.62"/>
    <col collapsed="false" customWidth="true" hidden="false" outlineLevel="0" max="13" min="4" style="83" width="9.62"/>
    <col collapsed="false" customWidth="true" hidden="false" outlineLevel="0" max="15" min="14" style="84" width="9.62"/>
    <col collapsed="false" customWidth="true" hidden="false" outlineLevel="0" max="17" min="16" style="83" width="9.62"/>
    <col collapsed="false" customWidth="true" hidden="false" outlineLevel="0" max="18" min="18" style="83" width="10.26"/>
    <col collapsed="false" customWidth="true" hidden="false" outlineLevel="0" max="19" min="19" style="83" width="13.5"/>
    <col collapsed="false" customWidth="false" hidden="false" outlineLevel="0" max="260" min="20" style="83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"&amp;Resumo!B5</f>
        <v>DESLOCAMENTO BASE MARINGÁ</v>
      </c>
      <c r="C2" s="19" t="str">
        <f aca="false">"DESLOCAMENTO BASE "&amp;Resumo!C5</f>
        <v>DESLOCAMENTO BASE 16118,64</v>
      </c>
      <c r="D2" s="19" t="str">
        <f aca="false">"DESLOCAMENTO BASE "&amp;Resumo!D5</f>
        <v>DESLOCAMENTO BASE 16724,2743941667</v>
      </c>
      <c r="E2" s="19" t="str">
        <f aca="false">"DESLOCAMENTO BASE "&amp;Resumo!E5</f>
        <v>DESLOCAMENTO BASE 200691,29273</v>
      </c>
      <c r="F2" s="19" t="str">
        <f aca="false">"DESLOCAMENTO BASE "&amp;Resumo!F5</f>
        <v>DESLOCAMENTO BASE 50172,8231825001</v>
      </c>
      <c r="G2" s="19" t="str">
        <f aca="false">"DESLOCAMENTO BASE "&amp;Resumo!G5</f>
        <v>DESLOCAMENTO BASE 602073,878190001</v>
      </c>
      <c r="H2" s="19" t="str">
        <f aca="false">"DESLOCAMENTO BASE "&amp;Resumo!H5</f>
        <v>DESLOCAMENTO BASE 66897,0975766668</v>
      </c>
      <c r="I2" s="19" t="str">
        <f aca="false">"DESLOCAMENTO BASE "&amp;Resumo!I5</f>
        <v>DESLOCAMENTO BASE 802765,170920002</v>
      </c>
      <c r="J2" s="19" t="str">
        <f aca="false">"DESLOCAMENTO BASE "&amp;Resumo!J5</f>
        <v>DESLOCAMENTO BASE </v>
      </c>
      <c r="K2" s="19" t="str">
        <f aca="false">"DESLOCAMENTO BASE "&amp;Resumo!K5</f>
        <v>DESLOCAMENTO BASE </v>
      </c>
      <c r="L2" s="19" t="str">
        <f aca="false">"DESLOCAMENTO BASE "&amp;Resumo!L5</f>
        <v>DESLOCAMENTO BASE </v>
      </c>
      <c r="M2" s="19" t="str">
        <f aca="false">"DESLOCAMENTO BASE "&amp;Resumo!M5</f>
        <v>DESLOCAMENTO BASE </v>
      </c>
      <c r="N2" s="19" t="str">
        <f aca="false">"DESLOCAMENTO BASE "&amp;Resumo!N5</f>
        <v>DESLOCAMENTO BASE </v>
      </c>
      <c r="O2" s="19" t="str">
        <f aca="false">"DESLOCAMENTO BASE "&amp;Resumo!O5</f>
        <v>DESLOCAMENTO BASE </v>
      </c>
      <c r="P2" s="19" t="str">
        <f aca="false">"DESLOCAMENTO BASE "&amp;Resumo!P5</f>
        <v>DESLOCAMENTO BASE </v>
      </c>
      <c r="Q2" s="19" t="str">
        <f aca="false">"DESLOCAMENTO BASE "&amp;Resumo!Q5</f>
        <v>DESLOCAMENTO BASE </v>
      </c>
      <c r="R2" s="19"/>
      <c r="S2" s="19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4"/>
      <c r="Q3" s="84"/>
      <c r="R3" s="84"/>
      <c r="S3" s="84"/>
    </row>
    <row r="4" customFormat="false" ht="37.5" hidden="false" customHeight="true" outlineLevel="0" collapsed="false">
      <c r="B4" s="22" t="s">
        <v>104</v>
      </c>
      <c r="C4" s="22" t="str">
        <f aca="false">"Rota (saída e retorno "&amp;Resumo!B5&amp;")"</f>
        <v>Rota (saída e retorno MARINGÁ)</v>
      </c>
      <c r="D4" s="22" t="s">
        <v>105</v>
      </c>
      <c r="E4" s="22" t="s">
        <v>106</v>
      </c>
      <c r="F4" s="22" t="s">
        <v>107</v>
      </c>
      <c r="G4" s="22" t="s">
        <v>108</v>
      </c>
      <c r="H4" s="22" t="s">
        <v>109</v>
      </c>
      <c r="I4" s="22" t="s">
        <v>110</v>
      </c>
      <c r="J4" s="22" t="s">
        <v>111</v>
      </c>
      <c r="K4" s="22" t="s">
        <v>112</v>
      </c>
      <c r="L4" s="22" t="s">
        <v>113</v>
      </c>
      <c r="M4" s="86" t="s">
        <v>114</v>
      </c>
      <c r="N4" s="22" t="s">
        <v>115</v>
      </c>
      <c r="O4" s="22" t="s">
        <v>116</v>
      </c>
      <c r="P4" s="22" t="s">
        <v>117</v>
      </c>
      <c r="Q4" s="22" t="s">
        <v>67</v>
      </c>
      <c r="R4" s="86" t="s">
        <v>118</v>
      </c>
      <c r="S4" s="22" t="s">
        <v>119</v>
      </c>
    </row>
    <row r="5" customFormat="false" ht="15.75" hidden="false" customHeight="true" outlineLevel="0" collapsed="false">
      <c r="B5" s="87" t="n">
        <v>1</v>
      </c>
      <c r="C5" s="88" t="s">
        <v>99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93" t="n">
        <v>0</v>
      </c>
      <c r="R5" s="95" t="str">
        <f aca="false">INDEX('Base Maringá'!$K$7:$K$19,MATCH('Desl. Base Maringá'!C5,'Base Maringá'!$B$7:$B$19,0))</f>
        <v>SIM</v>
      </c>
      <c r="S5" s="95" t="n">
        <v>1</v>
      </c>
    </row>
    <row r="6" customFormat="false" ht="15.75" hidden="false" customHeight="true" outlineLevel="0" collapsed="false">
      <c r="B6" s="87"/>
      <c r="C6" s="88" t="s">
        <v>81</v>
      </c>
      <c r="D6" s="89" t="n">
        <v>48.1</v>
      </c>
      <c r="E6" s="89" t="n">
        <v>49.1</v>
      </c>
      <c r="F6" s="89" t="n">
        <v>0</v>
      </c>
      <c r="G6" s="90" t="n">
        <f aca="false">SUM(D6:F7)</f>
        <v>169.6</v>
      </c>
      <c r="H6" s="89" t="n">
        <v>58</v>
      </c>
      <c r="I6" s="89" t="n">
        <v>59</v>
      </c>
      <c r="J6" s="89" t="n">
        <v>0</v>
      </c>
      <c r="K6" s="91" t="n">
        <f aca="false">SUM(H6:J7)</f>
        <v>207</v>
      </c>
      <c r="L6" s="92" t="n">
        <f aca="false">K6/60</f>
        <v>3.45</v>
      </c>
      <c r="M6" s="93" t="n">
        <v>0</v>
      </c>
      <c r="N6" s="91" t="n">
        <v>1</v>
      </c>
      <c r="O6" s="92" t="n">
        <f aca="false">L6/N6</f>
        <v>3.45</v>
      </c>
      <c r="P6" s="94" t="n">
        <v>0</v>
      </c>
      <c r="Q6" s="94" t="n">
        <v>0</v>
      </c>
      <c r="R6" s="95" t="str">
        <f aca="false">INDEX('Base Maringá'!$K$7:$K$19,MATCH('Desl. Base Maringá'!C6,'Base Maringá'!$B$7:$B$19,0))</f>
        <v>NÃO</v>
      </c>
      <c r="S6" s="96" t="n">
        <v>0</v>
      </c>
    </row>
    <row r="7" customFormat="false" ht="15.75" hidden="false" customHeight="true" outlineLevel="0" collapsed="false">
      <c r="B7" s="87" t="n">
        <v>2</v>
      </c>
      <c r="C7" s="88" t="s">
        <v>98</v>
      </c>
      <c r="D7" s="89" t="n">
        <v>2.9</v>
      </c>
      <c r="E7" s="89" t="n">
        <v>33</v>
      </c>
      <c r="F7" s="89" t="n">
        <v>36.5</v>
      </c>
      <c r="G7" s="97" t="n">
        <f aca="false">SUM(D7:F8)</f>
        <v>72.4</v>
      </c>
      <c r="H7" s="89" t="n">
        <v>10</v>
      </c>
      <c r="I7" s="89" t="n">
        <v>35</v>
      </c>
      <c r="J7" s="89" t="n">
        <v>45</v>
      </c>
      <c r="K7" s="91" t="n">
        <f aca="false">SUM(H7:J8)</f>
        <v>90</v>
      </c>
      <c r="L7" s="98" t="n">
        <f aca="false">K7/60</f>
        <v>1.5</v>
      </c>
      <c r="M7" s="93" t="n">
        <v>0</v>
      </c>
      <c r="N7" s="91" t="n">
        <v>2</v>
      </c>
      <c r="O7" s="92" t="n">
        <f aca="false">L7/N7</f>
        <v>0.75</v>
      </c>
      <c r="P7" s="93" t="n">
        <v>0</v>
      </c>
      <c r="Q7" s="93" t="n">
        <v>0</v>
      </c>
      <c r="R7" s="95" t="str">
        <f aca="false">INDEX('Base Maringá'!$K$7:$K$19,MATCH('Desl. Base Maringá'!C7,'Base Maringá'!$B$7:$B$19,0))</f>
        <v>NÃO</v>
      </c>
      <c r="S7" s="96" t="n">
        <v>0</v>
      </c>
    </row>
    <row r="8" customFormat="false" ht="15.75" hidden="false" customHeight="true" outlineLevel="0" collapsed="false">
      <c r="B8" s="87"/>
      <c r="C8" s="88" t="s">
        <v>90</v>
      </c>
      <c r="D8" s="89"/>
      <c r="E8" s="89"/>
      <c r="F8" s="89"/>
      <c r="G8" s="97"/>
      <c r="H8" s="89"/>
      <c r="I8" s="89"/>
      <c r="J8" s="89"/>
      <c r="K8" s="91"/>
      <c r="L8" s="98"/>
      <c r="M8" s="93"/>
      <c r="N8" s="91"/>
      <c r="O8" s="92" t="n">
        <f aca="false">O7</f>
        <v>0.75</v>
      </c>
      <c r="P8" s="93" t="n">
        <v>0</v>
      </c>
      <c r="Q8" s="93" t="n">
        <v>0</v>
      </c>
      <c r="R8" s="95" t="str">
        <f aca="false">INDEX('Base Maringá'!$K$7:$K$19,MATCH('Desl. Base Maringá'!C8,'Base Maringá'!$B$7:$B$19,0))</f>
        <v>NÃO</v>
      </c>
      <c r="S8" s="96" t="n">
        <v>0</v>
      </c>
    </row>
    <row r="9" customFormat="false" ht="15.75" hidden="false" customHeight="true" outlineLevel="0" collapsed="false">
      <c r="B9" s="87" t="n">
        <v>3</v>
      </c>
      <c r="C9" s="88" t="s">
        <v>96</v>
      </c>
      <c r="D9" s="89" t="n">
        <v>43.6</v>
      </c>
      <c r="E9" s="89" t="n">
        <f aca="false">75.8-D9</f>
        <v>32.2</v>
      </c>
      <c r="F9" s="89" t="n">
        <v>73.1</v>
      </c>
      <c r="G9" s="97" t="n">
        <f aca="false">SUM(D9:F10)</f>
        <v>148.9</v>
      </c>
      <c r="H9" s="89" t="n">
        <v>57</v>
      </c>
      <c r="I9" s="89" t="n">
        <f aca="false">74-H9</f>
        <v>17</v>
      </c>
      <c r="J9" s="89" t="n">
        <v>69</v>
      </c>
      <c r="K9" s="91" t="n">
        <f aca="false">SUM(H9:J10)</f>
        <v>143</v>
      </c>
      <c r="L9" s="98" t="n">
        <f aca="false">K9/60</f>
        <v>2.38333333333333</v>
      </c>
      <c r="M9" s="93" t="n">
        <v>0</v>
      </c>
      <c r="N9" s="91" t="n">
        <v>2</v>
      </c>
      <c r="O9" s="92" t="n">
        <f aca="false">L9/N9</f>
        <v>1.19166666666667</v>
      </c>
      <c r="P9" s="93" t="n">
        <v>0</v>
      </c>
      <c r="Q9" s="93" t="n">
        <v>0</v>
      </c>
      <c r="R9" s="95" t="str">
        <f aca="false">INDEX('Base Maringá'!$K$7:$K$19,MATCH('Desl. Base Maringá'!C9,'Base Maringá'!$B$7:$B$19,0))</f>
        <v>SIM</v>
      </c>
      <c r="S9" s="96" t="n">
        <v>1</v>
      </c>
    </row>
    <row r="10" customFormat="false" ht="15.75" hidden="false" customHeight="true" outlineLevel="0" collapsed="false">
      <c r="B10" s="87"/>
      <c r="C10" s="88" t="s">
        <v>89</v>
      </c>
      <c r="D10" s="89"/>
      <c r="E10" s="89"/>
      <c r="F10" s="89"/>
      <c r="G10" s="97"/>
      <c r="H10" s="89"/>
      <c r="I10" s="89"/>
      <c r="J10" s="89"/>
      <c r="K10" s="91"/>
      <c r="L10" s="98"/>
      <c r="M10" s="93" t="n">
        <v>0</v>
      </c>
      <c r="N10" s="91"/>
      <c r="O10" s="92" t="n">
        <f aca="false">O9</f>
        <v>1.19166666666667</v>
      </c>
      <c r="P10" s="93" t="n">
        <v>0</v>
      </c>
      <c r="Q10" s="93" t="n">
        <v>0</v>
      </c>
      <c r="R10" s="95" t="str">
        <f aca="false">INDEX('Base Maringá'!$K$7:$K$19,MATCH('Desl. Base Maringá'!C10,'Base Maringá'!$B$7:$B$19,0))</f>
        <v>NÃO</v>
      </c>
      <c r="S10" s="96" t="n">
        <v>1</v>
      </c>
    </row>
    <row r="11" customFormat="false" ht="15.75" hidden="false" customHeight="true" outlineLevel="0" collapsed="false">
      <c r="B11" s="87" t="n">
        <v>4</v>
      </c>
      <c r="C11" s="88" t="s">
        <v>92</v>
      </c>
      <c r="D11" s="89" t="n">
        <v>43.6</v>
      </c>
      <c r="E11" s="89" t="n">
        <f aca="false">94-D11</f>
        <v>50.4</v>
      </c>
      <c r="F11" s="89" t="n">
        <v>92.3</v>
      </c>
      <c r="G11" s="97" t="n">
        <f aca="false">SUM(D11:F12)</f>
        <v>186.3</v>
      </c>
      <c r="H11" s="89" t="n">
        <v>46</v>
      </c>
      <c r="I11" s="89" t="n">
        <f aca="false">85-H11</f>
        <v>39</v>
      </c>
      <c r="J11" s="89" t="n">
        <v>82</v>
      </c>
      <c r="K11" s="91" t="n">
        <f aca="false">SUM(H11:J12)</f>
        <v>167</v>
      </c>
      <c r="L11" s="98" t="n">
        <f aca="false">K11/60</f>
        <v>2.78333333333333</v>
      </c>
      <c r="M11" s="93" t="n">
        <v>0</v>
      </c>
      <c r="N11" s="91" t="n">
        <v>2</v>
      </c>
      <c r="O11" s="92" t="n">
        <f aca="false">L11/N11</f>
        <v>1.39166666666667</v>
      </c>
      <c r="P11" s="93" t="n">
        <v>0</v>
      </c>
      <c r="Q11" s="93" t="n">
        <v>0</v>
      </c>
      <c r="R11" s="95" t="str">
        <f aca="false">INDEX('Base Maringá'!$K$7:$K$19,MATCH('Desl. Base Maringá'!C11,'Base Maringá'!$B$7:$B$19,0))</f>
        <v>NÃO</v>
      </c>
      <c r="S11" s="96" t="n">
        <v>0</v>
      </c>
    </row>
    <row r="12" customFormat="false" ht="15.75" hidden="false" customHeight="true" outlineLevel="0" collapsed="false">
      <c r="B12" s="87"/>
      <c r="C12" s="88" t="s">
        <v>86</v>
      </c>
      <c r="D12" s="89"/>
      <c r="E12" s="89"/>
      <c r="F12" s="89"/>
      <c r="G12" s="97"/>
      <c r="H12" s="89"/>
      <c r="I12" s="89"/>
      <c r="J12" s="89"/>
      <c r="K12" s="91"/>
      <c r="L12" s="98"/>
      <c r="M12" s="93"/>
      <c r="N12" s="91"/>
      <c r="O12" s="92" t="n">
        <f aca="false">O11</f>
        <v>1.39166666666667</v>
      </c>
      <c r="P12" s="93" t="n">
        <v>0</v>
      </c>
      <c r="Q12" s="93" t="n">
        <v>0</v>
      </c>
      <c r="R12" s="95" t="str">
        <f aca="false">INDEX('Base Maringá'!$K$7:$K$19,MATCH('Desl. Base Maringá'!C12,'Base Maringá'!$B$7:$B$19,0))</f>
        <v>NÃO</v>
      </c>
      <c r="S12" s="96" t="n">
        <v>0</v>
      </c>
    </row>
    <row r="13" customFormat="false" ht="15.75" hidden="false" customHeight="true" outlineLevel="0" collapsed="false">
      <c r="B13" s="87" t="n">
        <v>5</v>
      </c>
      <c r="C13" s="88" t="s">
        <v>87</v>
      </c>
      <c r="D13" s="89" t="n">
        <v>134</v>
      </c>
      <c r="E13" s="89" t="n">
        <f aca="false">163-D13</f>
        <v>29</v>
      </c>
      <c r="F13" s="89" t="n">
        <v>162</v>
      </c>
      <c r="G13" s="97" t="n">
        <f aca="false">SUM(D13:F14)</f>
        <v>325</v>
      </c>
      <c r="H13" s="89" t="n">
        <v>114</v>
      </c>
      <c r="I13" s="89" t="n">
        <f aca="false">144-H13</f>
        <v>30</v>
      </c>
      <c r="J13" s="89" t="n">
        <v>142</v>
      </c>
      <c r="K13" s="91" t="n">
        <f aca="false">SUM(H13:J14)</f>
        <v>286</v>
      </c>
      <c r="L13" s="98" t="n">
        <f aca="false">K13/60</f>
        <v>4.76666666666667</v>
      </c>
      <c r="M13" s="93" t="n">
        <v>0</v>
      </c>
      <c r="N13" s="91" t="n">
        <v>2</v>
      </c>
      <c r="O13" s="92" t="n">
        <f aca="false">L13/N13</f>
        <v>2.38333333333333</v>
      </c>
      <c r="P13" s="93" t="n">
        <v>0</v>
      </c>
      <c r="Q13" s="93" t="n">
        <v>0</v>
      </c>
      <c r="R13" s="95" t="str">
        <f aca="false">INDEX('Base Maringá'!$K$7:$K$19,MATCH('Desl. Base Maringá'!C13,'Base Maringá'!$B$7:$B$19,0))</f>
        <v>NÃO</v>
      </c>
      <c r="S13" s="96" t="n">
        <v>1</v>
      </c>
    </row>
    <row r="14" customFormat="false" ht="15.75" hidden="false" customHeight="true" outlineLevel="0" collapsed="false">
      <c r="B14" s="87"/>
      <c r="C14" s="88" t="s">
        <v>97</v>
      </c>
      <c r="D14" s="89"/>
      <c r="E14" s="89"/>
      <c r="F14" s="89"/>
      <c r="G14" s="97"/>
      <c r="H14" s="89"/>
      <c r="I14" s="89"/>
      <c r="J14" s="89"/>
      <c r="K14" s="91"/>
      <c r="L14" s="98"/>
      <c r="M14" s="93"/>
      <c r="N14" s="91"/>
      <c r="O14" s="92" t="n">
        <f aca="false">O13</f>
        <v>2.38333333333333</v>
      </c>
      <c r="P14" s="93" t="n">
        <v>0</v>
      </c>
      <c r="Q14" s="93" t="n">
        <v>0</v>
      </c>
      <c r="R14" s="95" t="str">
        <f aca="false">INDEX('Base Maringá'!$K$7:$K$19,MATCH('Desl. Base Maringá'!C14,'Base Maringá'!$B$7:$B$19,0))</f>
        <v>SIM</v>
      </c>
      <c r="S14" s="96" t="n">
        <v>1</v>
      </c>
    </row>
    <row r="15" customFormat="false" ht="15.75" hidden="false" customHeight="true" outlineLevel="0" collapsed="false">
      <c r="B15" s="87" t="n">
        <v>6</v>
      </c>
      <c r="C15" s="88" t="s">
        <v>94</v>
      </c>
      <c r="D15" s="89" t="n">
        <v>14.2</v>
      </c>
      <c r="E15" s="89" t="n">
        <f aca="false">80.6-D15</f>
        <v>66.4</v>
      </c>
      <c r="F15" s="89" t="n">
        <v>79.9</v>
      </c>
      <c r="G15" s="97" t="n">
        <f aca="false">SUM(D15:F16)</f>
        <v>160.5</v>
      </c>
      <c r="H15" s="89" t="n">
        <v>21</v>
      </c>
      <c r="I15" s="89" t="n">
        <f aca="false">77-H15</f>
        <v>56</v>
      </c>
      <c r="J15" s="89" t="n">
        <v>76</v>
      </c>
      <c r="K15" s="91" t="n">
        <f aca="false">SUM(H15:J16)</f>
        <v>153</v>
      </c>
      <c r="L15" s="98" t="n">
        <f aca="false">K15/60</f>
        <v>2.55</v>
      </c>
      <c r="M15" s="93" t="n">
        <v>0</v>
      </c>
      <c r="N15" s="91" t="n">
        <v>2</v>
      </c>
      <c r="O15" s="92" t="n">
        <f aca="false">L15/N15</f>
        <v>1.275</v>
      </c>
      <c r="P15" s="93" t="n">
        <v>0</v>
      </c>
      <c r="Q15" s="93" t="n">
        <v>0</v>
      </c>
      <c r="R15" s="95" t="str">
        <f aca="false">INDEX('Base Maringá'!$K$7:$K$19,MATCH('Desl. Base Maringá'!C15,'Base Maringá'!$B$7:$B$19,0))</f>
        <v>NÃO</v>
      </c>
      <c r="S15" s="96" t="n">
        <v>0</v>
      </c>
    </row>
    <row r="16" customFormat="false" ht="15.75" hidden="false" customHeight="true" outlineLevel="0" collapsed="false">
      <c r="B16" s="87"/>
      <c r="C16" s="88" t="s">
        <v>85</v>
      </c>
      <c r="D16" s="89"/>
      <c r="E16" s="89"/>
      <c r="F16" s="89"/>
      <c r="G16" s="97"/>
      <c r="H16" s="89"/>
      <c r="I16" s="89"/>
      <c r="J16" s="89"/>
      <c r="K16" s="91"/>
      <c r="L16" s="98"/>
      <c r="M16" s="93"/>
      <c r="N16" s="91"/>
      <c r="O16" s="92" t="n">
        <f aca="false">O15</f>
        <v>1.275</v>
      </c>
      <c r="P16" s="93" t="n">
        <v>0</v>
      </c>
      <c r="Q16" s="93" t="n">
        <v>0</v>
      </c>
      <c r="R16" s="95" t="str">
        <f aca="false">INDEX('Base Maringá'!$K$7:$K$19,MATCH('Desl. Base Maringá'!C16,'Base Maringá'!$B$7:$B$19,0))</f>
        <v>NÃO</v>
      </c>
      <c r="S16" s="96" t="n">
        <v>0</v>
      </c>
    </row>
    <row r="17" customFormat="false" ht="15.75" hidden="false" customHeight="true" outlineLevel="0" collapsed="false">
      <c r="B17" s="87" t="n">
        <v>7</v>
      </c>
      <c r="C17" s="88" t="s">
        <v>83</v>
      </c>
      <c r="D17" s="89" t="n">
        <v>89.8</v>
      </c>
      <c r="E17" s="89" t="n">
        <v>90</v>
      </c>
      <c r="F17" s="89" t="n">
        <v>0</v>
      </c>
      <c r="G17" s="97" t="n">
        <f aca="false">SUM(D17:F17)</f>
        <v>179.8</v>
      </c>
      <c r="H17" s="89" t="n">
        <v>79</v>
      </c>
      <c r="I17" s="89" t="n">
        <v>77</v>
      </c>
      <c r="J17" s="89" t="n">
        <v>0</v>
      </c>
      <c r="K17" s="91" t="n">
        <f aca="false">SUM(H17:J17)</f>
        <v>156</v>
      </c>
      <c r="L17" s="98" t="n">
        <f aca="false">K17/60</f>
        <v>2.6</v>
      </c>
      <c r="M17" s="93" t="n">
        <v>0</v>
      </c>
      <c r="N17" s="91" t="n">
        <v>1</v>
      </c>
      <c r="O17" s="92" t="n">
        <f aca="false">L17</f>
        <v>2.6</v>
      </c>
      <c r="P17" s="93" t="n">
        <v>0</v>
      </c>
      <c r="Q17" s="93" t="n">
        <v>0</v>
      </c>
      <c r="R17" s="95" t="str">
        <f aca="false">INDEX('Base Maringá'!$K$7:$K$19,MATCH('Desl. Base Maringá'!C17,'Base Maringá'!$B$7:$B$19,0))</f>
        <v>SIM</v>
      </c>
      <c r="S17" s="96" t="n">
        <v>1</v>
      </c>
    </row>
    <row r="18" customFormat="false" ht="19.5" hidden="false" customHeight="true" outlineLevel="0" collapsed="false">
      <c r="B18" s="99" t="s">
        <v>100</v>
      </c>
      <c r="C18" s="99"/>
      <c r="D18" s="99"/>
      <c r="E18" s="99"/>
      <c r="F18" s="99"/>
      <c r="G18" s="100" t="n">
        <f aca="false">SUM(G5:G17)</f>
        <v>1242.5</v>
      </c>
      <c r="H18" s="101" t="s">
        <v>100</v>
      </c>
      <c r="I18" s="101"/>
      <c r="J18" s="101"/>
      <c r="K18" s="102" t="n">
        <f aca="false">SUM(K5:K17)</f>
        <v>1202</v>
      </c>
      <c r="L18" s="103" t="n">
        <f aca="false">SUM(L5:L17)</f>
        <v>20.0333333333333</v>
      </c>
      <c r="M18" s="104" t="n">
        <f aca="false">SUM(M5:M17)</f>
        <v>0</v>
      </c>
      <c r="N18" s="105" t="n">
        <f aca="false">SUM(N5:N17)</f>
        <v>13</v>
      </c>
      <c r="O18" s="103"/>
      <c r="P18" s="104"/>
      <c r="Q18" s="104" t="n">
        <f aca="false">SUM(Q5:Q17)</f>
        <v>0</v>
      </c>
      <c r="R18" s="104"/>
      <c r="S18" s="104"/>
    </row>
    <row r="19" customFormat="false" ht="16.5" hidden="false" customHeight="true" outlineLevel="0" collapsed="false">
      <c r="B19" s="106"/>
      <c r="C19" s="106"/>
      <c r="D19" s="106"/>
      <c r="E19" s="106"/>
      <c r="F19" s="106"/>
    </row>
    <row r="20" customFormat="false" ht="18.75" hidden="false" customHeight="true" outlineLevel="0" collapsed="false">
      <c r="B20" s="107" t="s">
        <v>120</v>
      </c>
      <c r="C20" s="107"/>
      <c r="D20" s="107"/>
      <c r="E20" s="107"/>
      <c r="F20" s="106"/>
      <c r="G20" s="106"/>
      <c r="H20" s="106"/>
      <c r="I20" s="106"/>
      <c r="J20" s="106"/>
      <c r="K20" s="106"/>
      <c r="L20" s="106"/>
      <c r="M20" s="106"/>
      <c r="N20" s="108"/>
      <c r="O20" s="108"/>
    </row>
    <row r="21" customFormat="false" ht="18.75" hidden="false" customHeight="true" outlineLevel="0" collapsed="false">
      <c r="B21" s="109" t="s">
        <v>121</v>
      </c>
      <c r="C21" s="109" t="s">
        <v>122</v>
      </c>
      <c r="D21" s="109" t="s">
        <v>123</v>
      </c>
      <c r="E21" s="109" t="s">
        <v>124</v>
      </c>
      <c r="F21" s="106"/>
      <c r="G21" s="106"/>
      <c r="H21" s="108"/>
      <c r="I21" s="108"/>
      <c r="J21" s="106"/>
      <c r="K21" s="106"/>
      <c r="L21" s="106"/>
      <c r="M21" s="106"/>
      <c r="N21" s="108"/>
      <c r="O21" s="108"/>
    </row>
    <row r="22" customFormat="false" ht="18.75" hidden="false" customHeight="true" outlineLevel="0" collapsed="false">
      <c r="B22" s="48" t="s">
        <v>125</v>
      </c>
      <c r="C22" s="110" t="s">
        <v>126</v>
      </c>
      <c r="D22" s="48" t="s">
        <v>127</v>
      </c>
      <c r="E22" s="111" t="n">
        <f aca="false">'Comp. Veículo'!D11</f>
        <v>52.69</v>
      </c>
      <c r="F22" s="106"/>
      <c r="G22" s="106"/>
      <c r="H22" s="112"/>
      <c r="I22" s="112"/>
      <c r="J22" s="106"/>
      <c r="K22" s="106"/>
      <c r="L22" s="106"/>
      <c r="M22" s="106"/>
      <c r="N22" s="108"/>
      <c r="O22" s="108"/>
    </row>
    <row r="23" customFormat="false" ht="18.75" hidden="false" customHeight="true" outlineLevel="0" collapsed="false">
      <c r="B23" s="113" t="s">
        <v>128</v>
      </c>
      <c r="C23" s="114" t="s">
        <v>126</v>
      </c>
      <c r="D23" s="113" t="s">
        <v>129</v>
      </c>
      <c r="E23" s="115" t="n">
        <f aca="false">'Comp. Veículo'!D27</f>
        <v>6.95</v>
      </c>
      <c r="F23" s="106"/>
      <c r="G23" s="106"/>
      <c r="H23" s="112"/>
      <c r="I23" s="112"/>
      <c r="J23" s="106"/>
      <c r="K23" s="106"/>
      <c r="L23" s="106"/>
      <c r="M23" s="106"/>
      <c r="N23" s="108"/>
      <c r="O23" s="108"/>
    </row>
    <row r="24" customFormat="false" ht="47.25" hidden="false" customHeight="true" outlineLevel="0" collapsed="false">
      <c r="B24" s="116" t="s">
        <v>130</v>
      </c>
      <c r="C24" s="116"/>
      <c r="D24" s="116"/>
      <c r="E24" s="116"/>
      <c r="F24" s="117"/>
      <c r="G24" s="117"/>
      <c r="H24" s="117"/>
      <c r="I24" s="117"/>
      <c r="J24" s="117"/>
      <c r="K24" s="117"/>
      <c r="L24" s="117"/>
      <c r="M24" s="106"/>
      <c r="N24" s="108"/>
      <c r="O24" s="108"/>
    </row>
    <row r="25" customFormat="false" ht="16.5" hidden="false" customHeight="true" outlineLevel="0" collapsed="false">
      <c r="B25" s="118"/>
      <c r="C25" s="118"/>
      <c r="D25" s="118"/>
      <c r="E25" s="118"/>
      <c r="F25" s="117"/>
      <c r="G25" s="117"/>
      <c r="H25" s="117"/>
      <c r="I25" s="117"/>
      <c r="J25" s="117"/>
      <c r="K25" s="117"/>
      <c r="L25" s="117"/>
      <c r="M25" s="106"/>
      <c r="N25" s="108"/>
      <c r="O25" s="108"/>
    </row>
    <row r="26" customFormat="false" ht="16.5" hidden="false" customHeight="true" outlineLevel="0" collapsed="false">
      <c r="B26" s="107" t="s">
        <v>131</v>
      </c>
      <c r="C26" s="107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8"/>
      <c r="O26" s="108"/>
    </row>
    <row r="27" customFormat="false" ht="16.5" hidden="false" customHeight="true" outlineLevel="0" collapsed="false">
      <c r="B27" s="48" t="s">
        <v>127</v>
      </c>
      <c r="C27" s="111" t="n">
        <f aca="false">E22*L18</f>
        <v>1055.55633333333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8"/>
      <c r="O27" s="108"/>
    </row>
    <row r="28" customFormat="false" ht="16.5" hidden="false" customHeight="true" outlineLevel="0" collapsed="false">
      <c r="B28" s="48" t="s">
        <v>129</v>
      </c>
      <c r="C28" s="111" t="n">
        <f aca="false">E23*('Base Maringá'!N20/12)</f>
        <v>302.556666666667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8"/>
      <c r="O28" s="108"/>
    </row>
    <row r="29" customFormat="false" ht="16.5" hidden="false" customHeight="true" outlineLevel="0" collapsed="false">
      <c r="B29" s="119" t="s">
        <v>28</v>
      </c>
      <c r="C29" s="120" t="n">
        <f aca="false">C27+C28</f>
        <v>1358.113</v>
      </c>
      <c r="D29" s="106"/>
      <c r="E29" s="106"/>
      <c r="F29" s="106"/>
      <c r="G29" s="106"/>
      <c r="H29" s="106"/>
      <c r="I29" s="106"/>
      <c r="M29" s="106"/>
      <c r="N29" s="108"/>
      <c r="O29" s="108"/>
    </row>
    <row r="30" customFormat="false" ht="16.5" hidden="false" customHeight="true" outlineLevel="0" collapsed="false">
      <c r="B30" s="106"/>
      <c r="C30" s="121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8"/>
      <c r="O30" s="108"/>
    </row>
    <row r="31" customFormat="false" ht="16.5" hidden="false" customHeight="true" outlineLevel="0" collapsed="false">
      <c r="B31" s="122" t="s">
        <v>132</v>
      </c>
      <c r="C31" s="122"/>
      <c r="D31" s="106"/>
      <c r="J31" s="106"/>
      <c r="K31" s="106"/>
      <c r="L31" s="106"/>
      <c r="M31" s="106"/>
      <c r="N31" s="108"/>
      <c r="O31" s="108"/>
    </row>
    <row r="32" customFormat="false" ht="16.5" hidden="false" customHeight="true" outlineLevel="0" collapsed="false">
      <c r="B32" s="123" t="s">
        <v>124</v>
      </c>
      <c r="C32" s="124" t="n">
        <f aca="false">SUM(M5:M14)</f>
        <v>0</v>
      </c>
      <c r="J32" s="106"/>
      <c r="K32" s="106"/>
      <c r="L32" s="106"/>
      <c r="M32" s="106"/>
      <c r="N32" s="108"/>
      <c r="O32" s="108"/>
    </row>
    <row r="33" customFormat="false" ht="16.5" hidden="false" customHeight="true" outlineLevel="0" collapsed="false">
      <c r="B33" s="106"/>
      <c r="C33" s="125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8"/>
      <c r="O33" s="108"/>
    </row>
    <row r="34" customFormat="false" ht="13.5" hidden="false" customHeight="false" outlineLevel="0" collapsed="false">
      <c r="B34" s="126" t="s">
        <v>133</v>
      </c>
      <c r="C34" s="127"/>
    </row>
    <row r="36" customFormat="false" ht="13.5" hidden="false" customHeight="false" outlineLevel="0" collapsed="false">
      <c r="B36" s="128" t="s">
        <v>67</v>
      </c>
      <c r="C36" s="128"/>
      <c r="D36" s="128"/>
      <c r="E36" s="128"/>
    </row>
    <row r="37" customFormat="false" ht="13.5" hidden="false" customHeight="false" outlineLevel="0" collapsed="false">
      <c r="B37" s="129" t="s">
        <v>134</v>
      </c>
      <c r="C37" s="129" t="s">
        <v>122</v>
      </c>
      <c r="D37" s="129" t="s">
        <v>123</v>
      </c>
      <c r="E37" s="129" t="s">
        <v>124</v>
      </c>
    </row>
    <row r="38" customFormat="false" ht="26.25" hidden="false" customHeight="false" outlineLevel="0" collapsed="false">
      <c r="B38" s="113" t="s">
        <v>135</v>
      </c>
      <c r="C38" s="130" t="s">
        <v>136</v>
      </c>
      <c r="D38" s="113" t="s">
        <v>137</v>
      </c>
      <c r="E38" s="115" t="n">
        <v>132.74</v>
      </c>
    </row>
    <row r="39" customFormat="false" ht="13.5" hidden="false" customHeight="false" outlineLevel="0" collapsed="false">
      <c r="B39" s="131" t="s">
        <v>138</v>
      </c>
      <c r="C39" s="131"/>
      <c r="D39" s="131"/>
      <c r="E39" s="131"/>
    </row>
  </sheetData>
  <mergeCells count="70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8:F18"/>
    <mergeCell ref="H18:J18"/>
    <mergeCell ref="B20:E20"/>
    <mergeCell ref="B24:E24"/>
    <mergeCell ref="B26:C26"/>
    <mergeCell ref="B31:C31"/>
    <mergeCell ref="B36:E36"/>
    <mergeCell ref="B39:E3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29"/>
  <sheetViews>
    <sheetView showFormulas="false" showGridLines="false" showRowColHeaders="true" showZeros="true" rightToLeft="false" tabSelected="false" showOutlineSymbols="true" defaultGridColor="true" view="normal" topLeftCell="A7" colorId="64" zoomScale="95" zoomScaleNormal="95" zoomScalePageLayoutView="100" workbookViewId="0">
      <selection pane="topLeft" activeCell="Q6" activeCellId="0" sqref="Q6"/>
    </sheetView>
  </sheetViews>
  <sheetFormatPr defaultColWidth="10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9.62"/>
    <col collapsed="false" customWidth="true" hidden="false" outlineLevel="0" max="17" min="17" style="17" width="31.62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1.62"/>
    <col collapsed="false" customWidth="true" hidden="false" outlineLevel="0" max="40" min="36" style="17" width="10.75"/>
    <col collapsed="false" customWidth="true" hidden="false" outlineLevel="0" max="41" min="41" style="17" width="14.5"/>
    <col collapsed="false" customWidth="true" hidden="false" outlineLevel="0" max="42" min="42" style="17" width="12.5"/>
    <col collapsed="false" customWidth="true" hidden="false" outlineLevel="0" max="43" min="43" style="17" width="14.25"/>
    <col collapsed="false" customWidth="true" hidden="false" outlineLevel="0" max="44" min="44" style="17" width="2.62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66" min="50" style="17" width="10.75"/>
    <col collapsed="false" customWidth="true" hidden="false" outlineLevel="0" max="256" min="67" style="1" width="10.75"/>
    <col collapsed="false" customWidth="true" hidden="false" outlineLevel="0" max="1024" min="1013" style="0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"&amp;Resumo!B6&amp;" - PLANILHA DE FORMAÇÃO DE PREÇOS"</f>
        <v>BASE CASCAVEL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1" t="str">
        <f aca="false">"BASE "&amp;Resumo!B6&amp;" – PLANILHA DE DISTRIBUIÇÃO DE CUSTOS POR UNIDADE"</f>
        <v>BASE CASCAVEL – PLANILHA DE DISTRIBUIÇÃO DE CUSTOS POR UNIDADE</v>
      </c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2"/>
      <c r="AI2" s="55" t="str">
        <f aca="false">"BASE "&amp;Resumo!B6&amp;" – PLANILHA RESUMO DE CUSTOS DA BASE"</f>
        <v>BASE CASCAVEL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</row>
    <row r="4" customFormat="false" ht="19.5" hidden="false" customHeight="true" outlineLevel="0" collapsed="false">
      <c r="B4" s="44" t="s">
        <v>41</v>
      </c>
      <c r="C4" s="44" t="s">
        <v>42</v>
      </c>
      <c r="D4" s="44"/>
      <c r="E4" s="44"/>
      <c r="F4" s="44"/>
      <c r="G4" s="44"/>
      <c r="H4" s="44" t="s">
        <v>43</v>
      </c>
      <c r="I4" s="44"/>
      <c r="J4" s="44"/>
      <c r="K4" s="44"/>
      <c r="L4" s="44"/>
      <c r="M4" s="44"/>
      <c r="N4" s="44"/>
      <c r="O4" s="44" t="s">
        <v>28</v>
      </c>
      <c r="P4" s="53"/>
      <c r="Q4" s="44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H4" s="54"/>
      <c r="AI4" s="44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"&amp;Resumo!B6</f>
        <v>Resumo de Custos da Base CASCAVEL</v>
      </c>
      <c r="AT4" s="57"/>
      <c r="AU4" s="57"/>
      <c r="AV4" s="57"/>
      <c r="AW4" s="57"/>
    </row>
    <row r="5" customFormat="false" ht="39.75" hidden="false" customHeight="true" outlineLevel="0" collapsed="false">
      <c r="B5" s="44"/>
      <c r="C5" s="44" t="s">
        <v>28</v>
      </c>
      <c r="D5" s="44" t="s">
        <v>51</v>
      </c>
      <c r="E5" s="44" t="s">
        <v>52</v>
      </c>
      <c r="F5" s="44" t="s">
        <v>53</v>
      </c>
      <c r="G5" s="44" t="s">
        <v>54</v>
      </c>
      <c r="H5" s="44" t="s">
        <v>55</v>
      </c>
      <c r="I5" s="44" t="s">
        <v>56</v>
      </c>
      <c r="J5" s="44" t="s">
        <v>57</v>
      </c>
      <c r="K5" s="44" t="s">
        <v>58</v>
      </c>
      <c r="L5" s="44" t="s">
        <v>59</v>
      </c>
      <c r="M5" s="44" t="s">
        <v>60</v>
      </c>
      <c r="N5" s="44" t="s">
        <v>61</v>
      </c>
      <c r="O5" s="44"/>
      <c r="P5" s="53"/>
      <c r="Q5" s="44"/>
      <c r="R5" s="44" t="s">
        <v>62</v>
      </c>
      <c r="S5" s="44" t="s">
        <v>63</v>
      </c>
      <c r="T5" s="44" t="s">
        <v>64</v>
      </c>
      <c r="U5" s="44" t="s">
        <v>65</v>
      </c>
      <c r="V5" s="44" t="s">
        <v>66</v>
      </c>
      <c r="W5" s="44" t="s">
        <v>67</v>
      </c>
      <c r="X5" s="44" t="s">
        <v>68</v>
      </c>
      <c r="Y5" s="44" t="s">
        <v>69</v>
      </c>
      <c r="Z5" s="44" t="s">
        <v>70</v>
      </c>
      <c r="AA5" s="44"/>
      <c r="AB5" s="44"/>
      <c r="AC5" s="44" t="n">
        <f aca="false">N19+'Base Maringá'!N20</f>
        <v>1010.6</v>
      </c>
      <c r="AD5" s="56" t="s">
        <v>62</v>
      </c>
      <c r="AE5" s="56" t="s">
        <v>63</v>
      </c>
      <c r="AF5" s="56" t="s">
        <v>64</v>
      </c>
      <c r="AG5" s="56" t="s">
        <v>65</v>
      </c>
      <c r="AH5" s="40"/>
      <c r="AI5" s="44"/>
      <c r="AJ5" s="56" t="s">
        <v>71</v>
      </c>
      <c r="AK5" s="56" t="s">
        <v>62</v>
      </c>
      <c r="AL5" s="56" t="s">
        <v>63</v>
      </c>
      <c r="AM5" s="56" t="s">
        <v>64</v>
      </c>
      <c r="AN5" s="56" t="s">
        <v>65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62</v>
      </c>
      <c r="AU5" s="56" t="s">
        <v>63</v>
      </c>
      <c r="AV5" s="56" t="s">
        <v>64</v>
      </c>
      <c r="AW5" s="56" t="s">
        <v>65</v>
      </c>
    </row>
    <row r="6" customFormat="false" ht="19.5" hidden="false" customHeight="true" outlineLevel="0" collapsed="false">
      <c r="B6" s="44"/>
      <c r="C6" s="59" t="s">
        <v>76</v>
      </c>
      <c r="D6" s="59" t="n">
        <v>1</v>
      </c>
      <c r="E6" s="59" t="n">
        <v>0.35</v>
      </c>
      <c r="F6" s="59" t="n">
        <v>0.1</v>
      </c>
      <c r="G6" s="44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4"/>
      <c r="O6" s="44"/>
      <c r="P6" s="60"/>
      <c r="Q6" s="44"/>
      <c r="R6" s="59" t="s">
        <v>77</v>
      </c>
      <c r="S6" s="59" t="s">
        <v>78</v>
      </c>
      <c r="T6" s="59" t="s">
        <v>79</v>
      </c>
      <c r="U6" s="59" t="s">
        <v>80</v>
      </c>
      <c r="V6" s="44"/>
      <c r="W6" s="44"/>
      <c r="X6" s="44"/>
      <c r="Y6" s="44"/>
      <c r="Z6" s="34" t="s">
        <v>62</v>
      </c>
      <c r="AA6" s="34" t="s">
        <v>63</v>
      </c>
      <c r="AB6" s="34" t="s">
        <v>64</v>
      </c>
      <c r="AC6" s="34" t="s">
        <v>65</v>
      </c>
      <c r="AD6" s="56"/>
      <c r="AE6" s="56"/>
      <c r="AF6" s="56"/>
      <c r="AG6" s="56"/>
      <c r="AH6" s="54"/>
      <c r="AI6" s="44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4" t="s">
        <v>77</v>
      </c>
      <c r="AU6" s="34" t="s">
        <v>78</v>
      </c>
      <c r="AV6" s="34" t="s">
        <v>79</v>
      </c>
      <c r="AW6" s="34" t="s">
        <v>80</v>
      </c>
    </row>
    <row r="7" customFormat="false" ht="15" hidden="false" customHeight="true" outlineLevel="0" collapsed="false">
      <c r="B7" s="62" t="s">
        <v>139</v>
      </c>
      <c r="C7" s="63" t="n">
        <f aca="false">VLOOKUP($B7,Unidades!$D$5:$N$29,6,FALSE())</f>
        <v>851.2</v>
      </c>
      <c r="D7" s="63" t="n">
        <f aca="false">VLOOKUP($B7,Unidades!$D$5:$N$29,7,FALSE())</f>
        <v>425.6</v>
      </c>
      <c r="E7" s="63" t="n">
        <f aca="false">VLOOKUP($B7,Unidades!$D$5:$N$29,8,FALSE())</f>
        <v>42.56</v>
      </c>
      <c r="F7" s="63" t="n">
        <f aca="false">VLOOKUP($B7,Unidades!$D$5:$N$29,9,FALSE())</f>
        <v>383.04</v>
      </c>
      <c r="G7" s="63" t="n">
        <f aca="false">D7+$E$6*E7+$F$6*F7</f>
        <v>478.8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VLOOKUP($B7,Unidades!$D$5:$N$29,10,FALSE())</f>
        <v>SIM</v>
      </c>
      <c r="K7" s="64" t="str">
        <f aca="false">VLOOKUP($B7,Unidades!$D$5:$N$29,11,FALSE())</f>
        <v>SIM</v>
      </c>
      <c r="L7" s="64" t="n">
        <f aca="false">$L$6*H7+(IF(J7="SIM",$J$6,0))</f>
        <v>3.65</v>
      </c>
      <c r="M7" s="64" t="n">
        <f aca="false">$M$6*H7+(IF(J7="SIM",$J$6,0))+(IF(K7="SIM",$K$6,0))</f>
        <v>7.65</v>
      </c>
      <c r="N7" s="64" t="n">
        <f aca="false">H7*12+I7*4+L7*2+M7</f>
        <v>40.15</v>
      </c>
      <c r="O7" s="65" t="n">
        <f aca="false">IF(K7="não", N7*(C$22+D$22),N7*(C$22+D$22)+(M7*+E$22))</f>
        <v>2808.9345</v>
      </c>
      <c r="P7" s="66"/>
      <c r="Q7" s="23" t="str">
        <f aca="false">B7</f>
        <v>APS GOIOERÊ</v>
      </c>
      <c r="R7" s="25" t="n">
        <f aca="false">H7*($C$22+$D$22)</f>
        <v>93.195</v>
      </c>
      <c r="S7" s="25" t="n">
        <f aca="false">I7*($C$22+$D$22)</f>
        <v>111.834</v>
      </c>
      <c r="T7" s="25" t="n">
        <f aca="false">L7*($C$22+$D$22)</f>
        <v>226.7745</v>
      </c>
      <c r="U7" s="25" t="n">
        <f aca="false">IF(K7="não",M7*($C$22+$D$22),M7*(C$22+D$22+E$22))</f>
        <v>789.7095</v>
      </c>
      <c r="V7" s="25" t="n">
        <f aca="false">VLOOKUP(Q7,'Desl. Base Cascavel'!$C$5:$S$16,13,FALSE())*($C$22+$D$22+$E$22*(VLOOKUP(Q7,'Desl. Base Cascavel'!$C$5:$S$16,17,FALSE())/12))</f>
        <v>133.295166666667</v>
      </c>
      <c r="W7" s="25" t="n">
        <f aca="false">VLOOKUP(Q7,'Desl. Base Cascavel'!$C$5:$S$16,15,FALSE())*(2+(VLOOKUP(Q7,'Desl. Base Cascavel'!$C$5:$S$16,17,FALSE())/12))</f>
        <v>0</v>
      </c>
      <c r="X7" s="25" t="n">
        <f aca="false">VLOOKUP(Q7,'Desl. Base Cascavel'!$C$5:$Q$16,14,FALSE())</f>
        <v>0</v>
      </c>
      <c r="Y7" s="25" t="n">
        <f aca="false">VLOOKUP(Q7,'Desl. Base Cascavel'!$C$5:Q$16,13,FALSE())*'Desl. Base Cascavel'!$E$21+'Desl. Base Cascavel'!$E$22*N7/12</f>
        <v>130.389875</v>
      </c>
      <c r="Z7" s="25" t="n">
        <f aca="false">(H7/$AC$5)*'Equipe Técnica'!$C$13</f>
        <v>276.809578468237</v>
      </c>
      <c r="AA7" s="25" t="n">
        <f aca="false">(I7/$AC$5)*'Equipe Técnica'!$C$13</f>
        <v>332.171494161884</v>
      </c>
      <c r="AB7" s="25" t="n">
        <f aca="false">(L7/$AC$5)*'Equipe Técnica'!$C$13</f>
        <v>673.569974272709</v>
      </c>
      <c r="AC7" s="25" t="n">
        <f aca="false">(M7/$AC$5)*'Equipe Técnica'!$C$13</f>
        <v>1411.72885018801</v>
      </c>
      <c r="AD7" s="25" t="n">
        <f aca="false">R7+(($V7+$W7+$X7+$Y7)*12/19)+$Z7</f>
        <v>536.542499520868</v>
      </c>
      <c r="AE7" s="25" t="n">
        <f aca="false">S7+(($V7+$W7+$X7+$Y7)*12/19)+$AA7</f>
        <v>610.543415214516</v>
      </c>
      <c r="AF7" s="25" t="n">
        <f aca="false">T7+(($V7+$W7+$X7+$Y7)*12/19)+$AB7</f>
        <v>1066.88239532534</v>
      </c>
      <c r="AG7" s="25" t="n">
        <f aca="false">U7+(($V7+$W7+$X7+$Y7)*12/19)+$AC7</f>
        <v>2367.97627124064</v>
      </c>
      <c r="AH7" s="132"/>
      <c r="AI7" s="23" t="str">
        <f aca="false">B7</f>
        <v>APS GOIOERÊ</v>
      </c>
      <c r="AJ7" s="67" t="n">
        <f aca="false">VLOOKUP(AI7,Unidades!D$5:H$29,5,)</f>
        <v>0.2223</v>
      </c>
      <c r="AK7" s="46" t="n">
        <f aca="false">AD7*(1+$AJ7)</f>
        <v>655.815897164357</v>
      </c>
      <c r="AL7" s="46" t="n">
        <f aca="false">AE7*(1+$AJ7)</f>
        <v>746.267216416702</v>
      </c>
      <c r="AM7" s="46" t="n">
        <f aca="false">AF7*(1+$AJ7)</f>
        <v>1304.05035180616</v>
      </c>
      <c r="AN7" s="46" t="n">
        <f aca="false">AG7*(1+$AJ7)</f>
        <v>2894.37739633743</v>
      </c>
      <c r="AO7" s="46" t="n">
        <f aca="false">((AK7*12)+(AL7*4)+(AM7*2)+AN7)/12</f>
        <v>1363.1114776324</v>
      </c>
      <c r="AP7" s="46" t="n">
        <f aca="false">AO7*3</f>
        <v>4089.33443289721</v>
      </c>
      <c r="AQ7" s="46" t="n">
        <f aca="false">AO7+AP7</f>
        <v>5452.44591052962</v>
      </c>
      <c r="AR7" s="68"/>
      <c r="AS7" s="69" t="s">
        <v>82</v>
      </c>
      <c r="AT7" s="46" t="n">
        <f aca="false">AK19</f>
        <v>9117.77063807349</v>
      </c>
      <c r="AU7" s="46" t="n">
        <f aca="false">AL19</f>
        <v>10458.6524302592</v>
      </c>
      <c r="AV7" s="46" t="n">
        <f aca="false">AM19</f>
        <v>12835.6679103184</v>
      </c>
      <c r="AW7" s="46" t="n">
        <f aca="false">AN19</f>
        <v>19461.7990848166</v>
      </c>
    </row>
    <row r="8" customFormat="false" ht="15" hidden="false" customHeight="true" outlineLevel="0" collapsed="false">
      <c r="B8" s="62" t="s">
        <v>140</v>
      </c>
      <c r="C8" s="63" t="n">
        <f aca="false">VLOOKUP($B8,Unidades!$D$5:$N$29,6,FALSE())</f>
        <v>1200</v>
      </c>
      <c r="D8" s="63" t="n">
        <f aca="false">VLOOKUP($B8,Unidades!$D$5:$N$29,7,FALSE())</f>
        <v>0</v>
      </c>
      <c r="E8" s="63" t="n">
        <f aca="false">VLOOKUP($B8,Unidades!$D$5:$N$29,8,FALSE())</f>
        <v>0</v>
      </c>
      <c r="F8" s="63" t="n">
        <f aca="false">VLOOKUP($B8,Unidades!$D$5:$N$29,9,FALSE())</f>
        <v>0</v>
      </c>
      <c r="G8" s="63" t="n">
        <f aca="false">D8+$E$6*E8+$F$6*F8</f>
        <v>0</v>
      </c>
      <c r="H8" s="64" t="n">
        <f aca="false">IF(G8&lt;750,1.5,IF(G8&lt;2000,2,3))</f>
        <v>1.5</v>
      </c>
      <c r="I8" s="64" t="n">
        <f aca="false">$I$6*H8</f>
        <v>1.8</v>
      </c>
      <c r="J8" s="64" t="str">
        <f aca="false">VLOOKUP($B8,Unidades!$D$5:$N$29,10,FALSE())</f>
        <v>SIM</v>
      </c>
      <c r="K8" s="64" t="str">
        <f aca="false">VLOOKUP($B8,Unidades!$D$5:$N$29,11,FALSE())</f>
        <v>NÃO</v>
      </c>
      <c r="L8" s="64" t="n">
        <f aca="false">$L$6*H8+(IF(J8="SIM",$J$6,0))</f>
        <v>3.65</v>
      </c>
      <c r="M8" s="64" t="n">
        <f aca="false">$M$6*H8+(IF(J8="SIM",$J$6,0))+(IF(K8="SIM",$K$6,0))</f>
        <v>3.65</v>
      </c>
      <c r="N8" s="64" t="n">
        <f aca="false">H8*12+I8*4+L8*2+M8</f>
        <v>36.15</v>
      </c>
      <c r="O8" s="65" t="n">
        <f aca="false">IF(K8="não", N8*(C$22+D$22),N8*(C$22+D$22)+(M8*+E$22))</f>
        <v>2245.9995</v>
      </c>
      <c r="P8" s="66"/>
      <c r="Q8" s="23" t="str">
        <f aca="false">B8</f>
        <v>GEX CASCAVEL</v>
      </c>
      <c r="R8" s="25" t="n">
        <f aca="false">H8*($C$22+$D$22)</f>
        <v>93.195</v>
      </c>
      <c r="S8" s="25" t="n">
        <f aca="false">I8*($C$22+$D$22)</f>
        <v>111.834</v>
      </c>
      <c r="T8" s="25" t="n">
        <f aca="false">L8*($C$22+$D$22)</f>
        <v>226.7745</v>
      </c>
      <c r="U8" s="25" t="n">
        <f aca="false">IF(K8="não",M8*($C$22+$D$22),M8*(C$22+D$22+E$22))</f>
        <v>226.7745</v>
      </c>
      <c r="V8" s="25" t="n">
        <f aca="false">VLOOKUP(Q8,'Desl. Base Cascavel'!$C$5:$S$16,13,FALSE())*($C$22+$D$22+$E$22*(VLOOKUP(Q8,'Desl. Base Cascavel'!$C$5:$S$16,17,FALSE())/12))</f>
        <v>0</v>
      </c>
      <c r="W8" s="25" t="n">
        <f aca="false">VLOOKUP(Q8,'Desl. Base Cascavel'!$C$5:$S$16,15,FALSE())*(2+(VLOOKUP(Q8,'Desl. Base Cascavel'!$C$5:$S$16,17,FALSE())/12))</f>
        <v>0</v>
      </c>
      <c r="X8" s="25" t="n">
        <f aca="false">VLOOKUP(Q8,'Desl. Base Cascavel'!$C$5:$Q$16,14,FALSE())</f>
        <v>0</v>
      </c>
      <c r="Y8" s="25" t="n">
        <f aca="false">VLOOKUP(Q8,'Desl. Base Cascavel'!$C$5:Q$16,13,FALSE())*'Desl. Base Cascavel'!$E$21+'Desl. Base Cascavel'!$E$22*N8/12</f>
        <v>20.936875</v>
      </c>
      <c r="Z8" s="25" t="n">
        <f aca="false">(H8/$AC$5)*'Equipe Técnica'!$C$13</f>
        <v>276.809578468237</v>
      </c>
      <c r="AA8" s="25" t="n">
        <f aca="false">(I8/$AC$5)*'Equipe Técnica'!$C$13</f>
        <v>332.171494161884</v>
      </c>
      <c r="AB8" s="25" t="n">
        <f aca="false">(L8/$AC$5)*'Equipe Técnica'!$C$13</f>
        <v>673.569974272709</v>
      </c>
      <c r="AC8" s="25" t="n">
        <f aca="false">(M8/$AC$5)*'Equipe Técnica'!$C$13</f>
        <v>673.569974272709</v>
      </c>
      <c r="AD8" s="25" t="n">
        <f aca="false">R8+(($V8+$W8+$X8+$Y8)*12/19)+$Z8</f>
        <v>383.227867941921</v>
      </c>
      <c r="AE8" s="25" t="n">
        <f aca="false">S8+(($V8+$W8+$X8+$Y8)*12/19)+$AA8</f>
        <v>457.228783635568</v>
      </c>
      <c r="AF8" s="25" t="n">
        <f aca="false">T8+(($V8+$W8+$X8+$Y8)*12/19)+$AB8</f>
        <v>913.567763746394</v>
      </c>
      <c r="AG8" s="25" t="n">
        <f aca="false">U8+(($V8+$W8+$X8+$Y8)*12/19)+$AC8</f>
        <v>913.567763746394</v>
      </c>
      <c r="AH8" s="132"/>
      <c r="AI8" s="23" t="str">
        <f aca="false">B8</f>
        <v>GEX CASCAVEL</v>
      </c>
      <c r="AJ8" s="67" t="n">
        <f aca="false">VLOOKUP(AI8,Unidades!D$5:H$29,5,)</f>
        <v>0.2354</v>
      </c>
      <c r="AK8" s="46" t="n">
        <f aca="false">AD8*(1+$AJ8)</f>
        <v>473.439708055449</v>
      </c>
      <c r="AL8" s="46" t="n">
        <f aca="false">AE8*(1+$AJ8)</f>
        <v>564.860439303381</v>
      </c>
      <c r="AM8" s="46" t="n">
        <f aca="false">AF8*(1+$AJ8)</f>
        <v>1128.62161533229</v>
      </c>
      <c r="AN8" s="46" t="n">
        <f aca="false">AG8*(1+$AJ8)</f>
        <v>1128.62161533229</v>
      </c>
      <c r="AO8" s="46" t="n">
        <f aca="false">((AK8*12)+(AL8*4)+(AM8*2)+AN8)/12</f>
        <v>943.88192498965</v>
      </c>
      <c r="AP8" s="46" t="n">
        <f aca="false">AO8*3</f>
        <v>2831.64577496895</v>
      </c>
      <c r="AQ8" s="46" t="n">
        <f aca="false">AO8+AP8</f>
        <v>3775.5276999586</v>
      </c>
      <c r="AR8" s="68"/>
      <c r="AS8" s="69" t="s">
        <v>84</v>
      </c>
      <c r="AT8" s="46" t="n">
        <f aca="false">AT7*12</f>
        <v>109413.247656882</v>
      </c>
      <c r="AU8" s="46" t="n">
        <f aca="false">AU7*4</f>
        <v>41834.609721037</v>
      </c>
      <c r="AV8" s="46" t="n">
        <f aca="false">AV7*2</f>
        <v>25671.3358206367</v>
      </c>
      <c r="AW8" s="46" t="n">
        <f aca="false">AW7</f>
        <v>19461.7990848166</v>
      </c>
    </row>
    <row r="9" customFormat="false" ht="15" hidden="false" customHeight="true" outlineLevel="0" collapsed="false">
      <c r="B9" s="62" t="s">
        <v>141</v>
      </c>
      <c r="C9" s="63" t="n">
        <f aca="false">VLOOKUP($B9,Unidades!$D$5:$N$29,6,FALSE())</f>
        <v>3298.13</v>
      </c>
      <c r="D9" s="63" t="n">
        <f aca="false">VLOOKUP($B9,Unidades!$D$5:$N$29,7,FALSE())</f>
        <v>1621.17</v>
      </c>
      <c r="E9" s="63" t="n">
        <f aca="false">VLOOKUP($B9,Unidades!$D$5:$N$29,8,FALSE())</f>
        <v>1676.96</v>
      </c>
      <c r="F9" s="63" t="n">
        <f aca="false">VLOOKUP($B9,Unidades!$D$5:$N$29,9,FALSE())</f>
        <v>0</v>
      </c>
      <c r="G9" s="63" t="n">
        <f aca="false">D9+$E$6*E9+$F$6*F9</f>
        <v>2208.106</v>
      </c>
      <c r="H9" s="64" t="n">
        <f aca="false">IF(G9&lt;750,1.5,IF(G9&lt;2000,2,3))</f>
        <v>3</v>
      </c>
      <c r="I9" s="64" t="n">
        <f aca="false">$I$6*H9</f>
        <v>3.6</v>
      </c>
      <c r="J9" s="64" t="str">
        <f aca="false">VLOOKUP($B9,Unidades!$D$5:$N$29,10,FALSE())</f>
        <v>SIM</v>
      </c>
      <c r="K9" s="64" t="str">
        <f aca="false">VLOOKUP($B9,Unidades!$D$5:$N$29,11,FALSE())</f>
        <v>SIM</v>
      </c>
      <c r="L9" s="64" t="n">
        <f aca="false">$L$6*H9+(IF(J9="SIM",$J$6,0))</f>
        <v>5.3</v>
      </c>
      <c r="M9" s="64" t="n">
        <f aca="false">$M$6*H9+(IF(J9="SIM",$J$6,0))+(IF(K9="SIM",$K$6,0))</f>
        <v>9.3</v>
      </c>
      <c r="N9" s="64" t="n">
        <f aca="false">H9*12+I9*4+L9*2+M9</f>
        <v>70.3</v>
      </c>
      <c r="O9" s="65" t="n">
        <f aca="false">IF(K9="não", N9*(C$22+D$22),N9*(C$22+D$22)+(M9*+E$22))</f>
        <v>4749.969</v>
      </c>
      <c r="P9" s="66"/>
      <c r="Q9" s="23" t="str">
        <f aca="false">B9</f>
        <v>APS CASCAVEL</v>
      </c>
      <c r="R9" s="25" t="n">
        <f aca="false">H9*($C$22+$D$22)</f>
        <v>186.39</v>
      </c>
      <c r="S9" s="25" t="n">
        <f aca="false">I9*($C$22+$D$22)</f>
        <v>223.668</v>
      </c>
      <c r="T9" s="25" t="n">
        <f aca="false">L9*($C$22+$D$22)</f>
        <v>329.289</v>
      </c>
      <c r="U9" s="25" t="n">
        <f aca="false">IF(K9="não",M9*($C$22+$D$22),M9*(C$22+D$22+E$22))</f>
        <v>960.039</v>
      </c>
      <c r="V9" s="25" t="n">
        <f aca="false">VLOOKUP(Q9,'Desl. Base Cascavel'!$C$5:$S$16,13,FALSE())*($C$22+$D$22+$E$22*(VLOOKUP(Q9,'Desl. Base Cascavel'!$C$5:$S$16,17,FALSE())/12))</f>
        <v>164.6445</v>
      </c>
      <c r="W9" s="25" t="n">
        <f aca="false">VLOOKUP(Q9,'Desl. Base Cascavel'!$C$5:$S$16,15,FALSE())*(2+(VLOOKUP(Q9,'Desl. Base Cascavel'!$C$5:$S$16,17,FALSE())/12))</f>
        <v>0</v>
      </c>
      <c r="X9" s="25" t="n">
        <f aca="false">VLOOKUP(Q9,'Desl. Base Cascavel'!$C$5:$Q$16,14,FALSE())</f>
        <v>0</v>
      </c>
      <c r="Y9" s="25" t="n">
        <f aca="false">VLOOKUP(Q9,'Desl. Base Cascavel'!$C$5:Q$16,13,FALSE())*'Desl. Base Cascavel'!$E$21+'Desl. Base Cascavel'!$E$22*N9/12</f>
        <v>180.343916666667</v>
      </c>
      <c r="Z9" s="25" t="n">
        <f aca="false">(H9/$AC$5)*'Equipe Técnica'!$C$13</f>
        <v>553.619156936474</v>
      </c>
      <c r="AA9" s="25" t="n">
        <f aca="false">(I9/$AC$5)*'Equipe Técnica'!$C$13</f>
        <v>664.342988323768</v>
      </c>
      <c r="AB9" s="25" t="n">
        <f aca="false">(L9/$AC$5)*'Equipe Técnica'!$C$13</f>
        <v>978.06051058777</v>
      </c>
      <c r="AC9" s="25" t="n">
        <f aca="false">(M9/$AC$5)*'Equipe Técnica'!$C$13</f>
        <v>1716.21938650307</v>
      </c>
      <c r="AD9" s="25" t="n">
        <f aca="false">R9+(($V9+$W9+$X9+$Y9)*12/19)+$Z9</f>
        <v>957.896577989105</v>
      </c>
      <c r="AE9" s="25" t="n">
        <f aca="false">S9+(($V9+$W9+$X9+$Y9)*12/19)+$AA9</f>
        <v>1105.8984093764</v>
      </c>
      <c r="AF9" s="25" t="n">
        <f aca="false">T9+(($V9+$W9+$X9+$Y9)*12/19)+$AB9</f>
        <v>1525.2369316404</v>
      </c>
      <c r="AG9" s="25" t="n">
        <f aca="false">U9+(($V9+$W9+$X9+$Y9)*12/19)+$AC9</f>
        <v>2894.1458075557</v>
      </c>
      <c r="AH9" s="132"/>
      <c r="AI9" s="23" t="str">
        <f aca="false">B9</f>
        <v>APS CASCAVEL</v>
      </c>
      <c r="AJ9" s="67" t="n">
        <f aca="false">VLOOKUP(AI9,Unidades!D$5:H$29,5,)</f>
        <v>0.2354</v>
      </c>
      <c r="AK9" s="46" t="n">
        <f aca="false">AD9*(1+$AJ9)</f>
        <v>1183.38543244774</v>
      </c>
      <c r="AL9" s="46" t="n">
        <f aca="false">AE9*(1+$AJ9)</f>
        <v>1366.2268949436</v>
      </c>
      <c r="AM9" s="46" t="n">
        <f aca="false">AF9*(1+$AJ9)</f>
        <v>1884.27770534855</v>
      </c>
      <c r="AN9" s="46" t="n">
        <f aca="false">AG9*(1+$AJ9)</f>
        <v>3575.42773065431</v>
      </c>
      <c r="AO9" s="46" t="n">
        <f aca="false">((AK9*12)+(AL9*4)+(AM9*2)+AN9)/12</f>
        <v>2250.79299254156</v>
      </c>
      <c r="AP9" s="46" t="n">
        <f aca="false">AO9*3</f>
        <v>6752.37897762468</v>
      </c>
      <c r="AQ9" s="46" t="n">
        <f aca="false">AO9+AP9</f>
        <v>9003.17197016624</v>
      </c>
      <c r="AR9" s="68"/>
      <c r="AS9" s="68"/>
      <c r="AT9" s="70"/>
      <c r="AU9" s="70"/>
      <c r="AV9" s="70"/>
      <c r="AW9" s="70"/>
    </row>
    <row r="10" customFormat="false" ht="15" hidden="false" customHeight="true" outlineLevel="0" collapsed="false">
      <c r="B10" s="62" t="s">
        <v>142</v>
      </c>
      <c r="C10" s="63" t="n">
        <f aca="false">VLOOKUP($B10,Unidades!$D$5:$N$29,6,FALSE())</f>
        <v>2005</v>
      </c>
      <c r="D10" s="63" t="n">
        <f aca="false">VLOOKUP($B10,Unidades!$D$5:$N$29,7,FALSE())</f>
        <v>1554.31</v>
      </c>
      <c r="E10" s="63" t="n">
        <f aca="false">VLOOKUP($B10,Unidades!$D$5:$N$29,8,FALSE())</f>
        <v>450.69</v>
      </c>
      <c r="F10" s="63" t="n">
        <f aca="false">VLOOKUP($B10,Unidades!$D$5:$N$29,9,FALSE())</f>
        <v>0</v>
      </c>
      <c r="G10" s="63" t="n">
        <f aca="false">D10+$E$6*E10+$F$6*F10</f>
        <v>1712.0515</v>
      </c>
      <c r="H10" s="64" t="n">
        <f aca="false">IF(G10&lt;750,1.5,IF(G10&lt;2000,2,3))</f>
        <v>2</v>
      </c>
      <c r="I10" s="64" t="n">
        <f aca="false">$I$6*H10</f>
        <v>2.4</v>
      </c>
      <c r="J10" s="64" t="str">
        <f aca="false">VLOOKUP($B10,Unidades!$D$5:$N$29,10,FALSE())</f>
        <v>SIM</v>
      </c>
      <c r="K10" s="64" t="str">
        <f aca="false">VLOOKUP($B10,Unidades!$D$5:$N$29,11,FALSE())</f>
        <v>SIM</v>
      </c>
      <c r="L10" s="64" t="n">
        <f aca="false">$L$6*H10+(IF(J10="SIM",$J$6,0))</f>
        <v>4.2</v>
      </c>
      <c r="M10" s="64" t="n">
        <f aca="false">$M$6*H10+(IF(J10="SIM",$J$6,0))+(IF(K10="SIM",$K$6,0))</f>
        <v>8.2</v>
      </c>
      <c r="N10" s="64" t="n">
        <f aca="false">H10*12+I10*4+L10*2+M10</f>
        <v>50.2</v>
      </c>
      <c r="O10" s="65" t="n">
        <f aca="false">IF(K10="não", N10*(C$22+D$22),N10*(C$22+D$22)+(M10*+E$22))</f>
        <v>3455.946</v>
      </c>
      <c r="P10" s="66"/>
      <c r="Q10" s="23" t="str">
        <f aca="false">B10</f>
        <v>APS TOLEDO</v>
      </c>
      <c r="R10" s="25" t="n">
        <f aca="false">H10*($C$22+$D$22)</f>
        <v>124.26</v>
      </c>
      <c r="S10" s="25" t="n">
        <f aca="false">I10*($C$22+$D$22)</f>
        <v>149.112</v>
      </c>
      <c r="T10" s="25" t="n">
        <f aca="false">L10*($C$22+$D$22)</f>
        <v>260.946</v>
      </c>
      <c r="U10" s="25" t="n">
        <f aca="false">IF(K10="não",M10*($C$22+$D$22),M10*(C$22+D$22+E$22))</f>
        <v>846.486</v>
      </c>
      <c r="V10" s="25" t="n">
        <f aca="false">VLOOKUP(Q10,'Desl. Base Cascavel'!$C$5:$S$16,13,FALSE())*($C$22+$D$22+$E$22*(VLOOKUP(Q10,'Desl. Base Cascavel'!$C$5:$S$16,17,FALSE())/12))</f>
        <v>84.6752083333333</v>
      </c>
      <c r="W10" s="25" t="n">
        <f aca="false">VLOOKUP(Q10,'Desl. Base Cascavel'!$C$5:$S$16,15,FALSE())*(2+(VLOOKUP(Q10,'Desl. Base Cascavel'!$C$5:$S$16,17,FALSE())/12))</f>
        <v>0</v>
      </c>
      <c r="X10" s="25" t="n">
        <f aca="false">VLOOKUP(Q10,'Desl. Base Cascavel'!$C$5:$Q$16,14,FALSE())</f>
        <v>0</v>
      </c>
      <c r="Y10" s="25" t="n">
        <f aca="false">VLOOKUP(Q10,'Desl. Base Cascavel'!$C$5:Q$16,13,FALSE())*'Desl. Base Cascavel'!$E$21+'Desl. Base Cascavel'!$E$22*N10/12</f>
        <v>97.1320833333333</v>
      </c>
      <c r="Z10" s="25" t="n">
        <f aca="false">(H10/$AC$5)*'Equipe Técnica'!$C$13</f>
        <v>369.079437957649</v>
      </c>
      <c r="AA10" s="25" t="n">
        <f aca="false">(I10/$AC$5)*'Equipe Técnica'!$C$13</f>
        <v>442.895325549179</v>
      </c>
      <c r="AB10" s="25" t="n">
        <f aca="false">(L10/$AC$5)*'Equipe Técnica'!$C$13</f>
        <v>775.066819711063</v>
      </c>
      <c r="AC10" s="25" t="n">
        <f aca="false">(M10/$AC$5)*'Equipe Técnica'!$C$13</f>
        <v>1513.22569562636</v>
      </c>
      <c r="AD10" s="25" t="n">
        <f aca="false">R10+(($V10+$W10+$X10+$Y10)*12/19)+$Z10</f>
        <v>608.165095852386</v>
      </c>
      <c r="AE10" s="25" t="n">
        <f aca="false">S10+(($V10+$W10+$X10+$Y10)*12/19)+$AA10</f>
        <v>706.832983443916</v>
      </c>
      <c r="AF10" s="25" t="n">
        <f aca="false">T10+(($V10+$W10+$X10+$Y10)*12/19)+$AB10</f>
        <v>1150.8384776058</v>
      </c>
      <c r="AG10" s="25" t="n">
        <f aca="false">U10+(($V10+$W10+$X10+$Y10)*12/19)+$AC10</f>
        <v>2474.5373535211</v>
      </c>
      <c r="AH10" s="132"/>
      <c r="AI10" s="23" t="str">
        <f aca="false">B10</f>
        <v>APS TOLEDO</v>
      </c>
      <c r="AJ10" s="67" t="n">
        <f aca="false">VLOOKUP(AI10,Unidades!D$5:H$29,5,)</f>
        <v>0.2354</v>
      </c>
      <c r="AK10" s="46" t="n">
        <f aca="false">AD10*(1+$AJ10)</f>
        <v>751.327159416037</v>
      </c>
      <c r="AL10" s="46" t="n">
        <f aca="false">AE10*(1+$AJ10)</f>
        <v>873.221467746613</v>
      </c>
      <c r="AM10" s="46" t="n">
        <f aca="false">AF10*(1+$AJ10)</f>
        <v>1421.74585523421</v>
      </c>
      <c r="AN10" s="46" t="n">
        <f aca="false">AG10*(1+$AJ10)</f>
        <v>3057.04344653996</v>
      </c>
      <c r="AO10" s="46" t="n">
        <f aca="false">((AK10*12)+(AL10*4)+(AM10*2)+AN10)/12</f>
        <v>1534.11224508227</v>
      </c>
      <c r="AP10" s="46" t="n">
        <f aca="false">AO10*3</f>
        <v>4602.33673524682</v>
      </c>
      <c r="AQ10" s="46" t="n">
        <f aca="false">AO10+AP10</f>
        <v>6136.44898032909</v>
      </c>
      <c r="AR10" s="68"/>
      <c r="AS10" s="71" t="s">
        <v>72</v>
      </c>
      <c r="AT10" s="46" t="n">
        <f aca="false">(SUM(AT8:AW8))/12</f>
        <v>16365.082690281</v>
      </c>
      <c r="AU10" s="46"/>
      <c r="AV10" s="70"/>
      <c r="AW10" s="70"/>
    </row>
    <row r="11" customFormat="false" ht="15" hidden="false" customHeight="true" outlineLevel="0" collapsed="false">
      <c r="B11" s="62" t="s">
        <v>143</v>
      </c>
      <c r="C11" s="63" t="n">
        <f aca="false">VLOOKUP($B11,Unidades!$D$5:$N$29,6,FALSE())</f>
        <v>785.22</v>
      </c>
      <c r="D11" s="63" t="n">
        <f aca="false">VLOOKUP($B11,Unidades!$D$5:$N$29,7,FALSE())</f>
        <v>551.75</v>
      </c>
      <c r="E11" s="63" t="n">
        <f aca="false">VLOOKUP($B11,Unidades!$D$5:$N$29,8,FALSE())</f>
        <v>233.47</v>
      </c>
      <c r="F11" s="63" t="n">
        <f aca="false">VLOOKUP($B11,Unidades!$D$5:$N$29,9,FALSE())</f>
        <v>0</v>
      </c>
      <c r="G11" s="63" t="n">
        <f aca="false">D11+$E$6*E11+$F$6*F11</f>
        <v>633.4645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NÃO</v>
      </c>
      <c r="L11" s="64" t="n">
        <f aca="false">$L$6*H11+(IF(J11="SIM",$J$6,0))</f>
        <v>1.65</v>
      </c>
      <c r="M11" s="64" t="n">
        <f aca="false">$M$6*H11+(IF(J11="SIM",$J$6,0))+(IF(K11="SIM",$K$6,0))</f>
        <v>1.65</v>
      </c>
      <c r="N11" s="64" t="n">
        <f aca="false">H11*12+I11*4+L11*2+M11</f>
        <v>30.15</v>
      </c>
      <c r="O11" s="65" t="n">
        <f aca="false">IF(K11="não", N11*(C$22+D$22),N11*(C$22+D$22)+(M11*+E$22))</f>
        <v>1873.2195</v>
      </c>
      <c r="P11" s="66"/>
      <c r="Q11" s="23" t="str">
        <f aca="false">B11</f>
        <v>APS MARECHAL CÂNDIDO RONDON</v>
      </c>
      <c r="R11" s="25" t="n">
        <f aca="false">H11*($C$22+$D$22)</f>
        <v>93.195</v>
      </c>
      <c r="S11" s="25" t="n">
        <f aca="false">I11*($C$22+$D$22)</f>
        <v>111.834</v>
      </c>
      <c r="T11" s="25" t="n">
        <f aca="false">L11*($C$22+$D$22)</f>
        <v>102.5145</v>
      </c>
      <c r="U11" s="25" t="n">
        <f aca="false">IF(K11="não",M11*($C$22+$D$22),M11*(C$22+D$22+E$22))</f>
        <v>102.5145</v>
      </c>
      <c r="V11" s="25" t="n">
        <f aca="false">VLOOKUP(Q11,'Desl. Base Cascavel'!$C$5:$S$16,13,FALSE())*($C$22+$D$22+$E$22*(VLOOKUP(Q11,'Desl. Base Cascavel'!$C$5:$S$16,17,FALSE())/12))</f>
        <v>84.6752083333333</v>
      </c>
      <c r="W11" s="25" t="n">
        <f aca="false">VLOOKUP(Q11,'Desl. Base Cascavel'!$C$5:$S$16,15,FALSE())*(2+(VLOOKUP(Q11,'Desl. Base Cascavel'!$C$5:$S$16,17,FALSE())/12))</f>
        <v>0</v>
      </c>
      <c r="X11" s="25" t="n">
        <f aca="false">VLOOKUP(Q11,'Desl. Base Cascavel'!$C$5:$Q$16,14,FALSE())</f>
        <v>0</v>
      </c>
      <c r="Y11" s="25" t="n">
        <f aca="false">VLOOKUP(Q11,'Desl. Base Cascavel'!$C$5:Q$16,13,FALSE())*'Desl. Base Cascavel'!$E$21+'Desl. Base Cascavel'!$E$22*N11/12</f>
        <v>85.5197916666667</v>
      </c>
      <c r="Z11" s="25" t="n">
        <f aca="false">(H11/$AC$5)*'Equipe Técnica'!$C$13</f>
        <v>276.809578468237</v>
      </c>
      <c r="AA11" s="25" t="n">
        <f aca="false">(I11/$AC$5)*'Equipe Técnica'!$C$13</f>
        <v>332.171494161884</v>
      </c>
      <c r="AB11" s="25" t="n">
        <f aca="false">(L11/$AC$5)*'Equipe Técnica'!$C$13</f>
        <v>304.49053631506</v>
      </c>
      <c r="AC11" s="25" t="n">
        <f aca="false">(M11/$AC$5)*'Equipe Técnica'!$C$13</f>
        <v>304.49053631506</v>
      </c>
      <c r="AD11" s="25" t="n">
        <f aca="false">R11+(($V11+$W11+$X11+$Y11)*12/19)+$Z11</f>
        <v>477.496157415605</v>
      </c>
      <c r="AE11" s="25" t="n">
        <f aca="false">S11+(($V11+$W11+$X11+$Y11)*12/19)+$AA11</f>
        <v>551.497073109252</v>
      </c>
      <c r="AF11" s="25" t="n">
        <f aca="false">T11+(($V11+$W11+$X11+$Y11)*12/19)+$AB11</f>
        <v>514.496615262429</v>
      </c>
      <c r="AG11" s="25" t="n">
        <f aca="false">U11+(($V11+$W11+$X11+$Y11)*12/19)+$AC11</f>
        <v>514.496615262429</v>
      </c>
      <c r="AH11" s="132"/>
      <c r="AI11" s="23" t="str">
        <f aca="false">B11</f>
        <v>APS MARECHAL CÂNDIDO RONDON</v>
      </c>
      <c r="AJ11" s="67" t="n">
        <f aca="false">VLOOKUP(AI11,Unidades!D$5:H$29,5,)</f>
        <v>0.2223</v>
      </c>
      <c r="AK11" s="46" t="n">
        <f aca="false">AD11*(1+$AJ11)</f>
        <v>583.643553209094</v>
      </c>
      <c r="AL11" s="46" t="n">
        <f aca="false">AE11*(1+$AJ11)</f>
        <v>674.094872461439</v>
      </c>
      <c r="AM11" s="46" t="n">
        <f aca="false">AF11*(1+$AJ11)</f>
        <v>628.869212835267</v>
      </c>
      <c r="AN11" s="46" t="n">
        <f aca="false">AG11*(1+$AJ11)</f>
        <v>628.869212835267</v>
      </c>
      <c r="AO11" s="46" t="n">
        <f aca="false">((AK11*12)+(AL11*4)+(AM11*2)+AN11)/12</f>
        <v>965.55914723839</v>
      </c>
      <c r="AP11" s="46" t="n">
        <f aca="false">AO11*3</f>
        <v>2896.67744171517</v>
      </c>
      <c r="AQ11" s="46" t="n">
        <f aca="false">AO11+AP11</f>
        <v>3862.23658895356</v>
      </c>
      <c r="AR11" s="68"/>
      <c r="AS11" s="71" t="s">
        <v>88</v>
      </c>
      <c r="AT11" s="46" t="n">
        <f aca="false">AT10*12</f>
        <v>196380.992283372</v>
      </c>
      <c r="AU11" s="46"/>
      <c r="AV11" s="70"/>
      <c r="AW11" s="70"/>
    </row>
    <row r="12" customFormat="false" ht="15" hidden="false" customHeight="true" outlineLevel="0" collapsed="false">
      <c r="B12" s="62" t="s">
        <v>144</v>
      </c>
      <c r="C12" s="63" t="n">
        <f aca="false">VLOOKUP($B12,Unidades!$D$5:$N$29,6,FALSE())</f>
        <v>525</v>
      </c>
      <c r="D12" s="63" t="n">
        <f aca="false">VLOOKUP($B12,Unidades!$D$5:$N$29,7,FALSE())</f>
        <v>423.47</v>
      </c>
      <c r="E12" s="63" t="n">
        <f aca="false">VLOOKUP($B12,Unidades!$D$5:$N$29,8,FALSE())</f>
        <v>101.53</v>
      </c>
      <c r="F12" s="63" t="n">
        <f aca="false">VLOOKUP($B12,Unidades!$D$5:$N$29,9,FALSE())</f>
        <v>0</v>
      </c>
      <c r="G12" s="63" t="n">
        <f aca="false">D12+$E$6*E12+$F$6*F12</f>
        <v>459.0055</v>
      </c>
      <c r="H12" s="64" t="n">
        <f aca="false">IF(G12&lt;750,1.5,IF(G12&lt;2000,2,3))</f>
        <v>1.5</v>
      </c>
      <c r="I12" s="64" t="n">
        <f aca="false">$I$6*H12</f>
        <v>1.8</v>
      </c>
      <c r="J12" s="64" t="str">
        <f aca="false">VLOOKUP($B12,Unidades!$D$5:$N$29,10,FALSE())</f>
        <v>NÃO</v>
      </c>
      <c r="K12" s="64" t="str">
        <f aca="false">VLOOKUP($B12,Unidades!$D$5:$N$29,11,FALSE())</f>
        <v>NÃO</v>
      </c>
      <c r="L12" s="64" t="n">
        <f aca="false">$L$6*H12+(IF(J12="SIM",$J$6,0))</f>
        <v>1.65</v>
      </c>
      <c r="M12" s="64" t="n">
        <f aca="false">$M$6*H12+(IF(J12="SIM",$J$6,0))+(IF(K12="SIM",$K$6,0))</f>
        <v>1.65</v>
      </c>
      <c r="N12" s="64" t="n">
        <f aca="false">H12*12+I12*4+L12*2+M12</f>
        <v>30.15</v>
      </c>
      <c r="O12" s="65" t="n">
        <f aca="false">IF(K12="não", N12*(C$22+D$22),N12*(C$22+D$22)+(M12*+E$22))</f>
        <v>1873.2195</v>
      </c>
      <c r="P12" s="66"/>
      <c r="Q12" s="23" t="str">
        <f aca="false">B12</f>
        <v>APS ASSIS CHATEAUBRIAND</v>
      </c>
      <c r="R12" s="25" t="n">
        <f aca="false">H12*($C$22+$D$22)</f>
        <v>93.195</v>
      </c>
      <c r="S12" s="25" t="n">
        <f aca="false">I12*($C$22+$D$22)</f>
        <v>111.834</v>
      </c>
      <c r="T12" s="25" t="n">
        <f aca="false">L12*($C$22+$D$22)</f>
        <v>102.5145</v>
      </c>
      <c r="U12" s="25" t="n">
        <f aca="false">IF(K12="não",M12*($C$22+$D$22),M12*(C$22+D$22+E$22))</f>
        <v>102.5145</v>
      </c>
      <c r="V12" s="25" t="n">
        <f aca="false">VLOOKUP(Q12,'Desl. Base Cascavel'!$C$5:$S$16,13,FALSE())*($C$22+$D$22+$E$22*(VLOOKUP(Q12,'Desl. Base Cascavel'!$C$5:$S$16,17,FALSE())/12))</f>
        <v>133.295166666667</v>
      </c>
      <c r="W12" s="25" t="n">
        <f aca="false">VLOOKUP(Q12,'Desl. Base Cascavel'!$C$5:$S$16,15,FALSE())*(2+(VLOOKUP(Q12,'Desl. Base Cascavel'!$C$5:$S$16,17,FALSE())/12))</f>
        <v>0</v>
      </c>
      <c r="X12" s="25" t="n">
        <f aca="false">VLOOKUP(Q12,'Desl. Base Cascavel'!$C$5:$Q$16,14,FALSE())</f>
        <v>0</v>
      </c>
      <c r="Y12" s="25" t="n">
        <f aca="false">VLOOKUP(Q12,'Desl. Base Cascavel'!$C$5:Q$16,13,FALSE())*'Desl. Base Cascavel'!$E$21+'Desl. Base Cascavel'!$E$22*N12/12</f>
        <v>124.598208333333</v>
      </c>
      <c r="Z12" s="25" t="n">
        <f aca="false">(H12/$AC$5)*'Equipe Técnica'!$C$13</f>
        <v>276.809578468237</v>
      </c>
      <c r="AA12" s="25" t="n">
        <f aca="false">(I12/$AC$5)*'Equipe Técnica'!$C$13</f>
        <v>332.171494161884</v>
      </c>
      <c r="AB12" s="25" t="n">
        <f aca="false">(L12/$AC$5)*'Equipe Técnica'!$C$13</f>
        <v>304.49053631506</v>
      </c>
      <c r="AC12" s="25" t="n">
        <f aca="false">(M12/$AC$5)*'Equipe Técnica'!$C$13</f>
        <v>304.49053631506</v>
      </c>
      <c r="AD12" s="25" t="n">
        <f aca="false">R12+(($V12+$W12+$X12+$Y12)*12/19)+$Z12</f>
        <v>532.884604784026</v>
      </c>
      <c r="AE12" s="25" t="n">
        <f aca="false">S12+(($V12+$W12+$X12+$Y12)*12/19)+$AA12</f>
        <v>606.885520477674</v>
      </c>
      <c r="AF12" s="25" t="n">
        <f aca="false">T12+(($V12+$W12+$X12+$Y12)*12/19)+$AB12</f>
        <v>569.88506263085</v>
      </c>
      <c r="AG12" s="25" t="n">
        <f aca="false">U12+(($V12+$W12+$X12+$Y12)*12/19)+$AC12</f>
        <v>569.88506263085</v>
      </c>
      <c r="AH12" s="132"/>
      <c r="AI12" s="23" t="str">
        <f aca="false">B12</f>
        <v>APS ASSIS CHATEAUBRIAND</v>
      </c>
      <c r="AJ12" s="67" t="n">
        <f aca="false">VLOOKUP(AI12,Unidades!D$5:H$29,5,)</f>
        <v>0.2354</v>
      </c>
      <c r="AK12" s="46" t="n">
        <f aca="false">AD12*(1+$AJ12)</f>
        <v>658.325640750186</v>
      </c>
      <c r="AL12" s="46" t="n">
        <f aca="false">AE12*(1+$AJ12)</f>
        <v>749.746371998118</v>
      </c>
      <c r="AM12" s="46" t="n">
        <f aca="false">AF12*(1+$AJ12)</f>
        <v>704.036006374152</v>
      </c>
      <c r="AN12" s="46" t="n">
        <f aca="false">AG12*(1+$AJ12)</f>
        <v>704.036006374152</v>
      </c>
      <c r="AO12" s="46" t="n">
        <f aca="false">((AK12*12)+(AL12*4)+(AM12*2)+AN12)/12</f>
        <v>1084.25009967643</v>
      </c>
      <c r="AP12" s="46" t="n">
        <f aca="false">AO12*3</f>
        <v>3252.75029902929</v>
      </c>
      <c r="AQ12" s="46" t="n">
        <f aca="false">AO12+AP12</f>
        <v>4337.00039870572</v>
      </c>
      <c r="AR12" s="68"/>
      <c r="AS12" s="71" t="s">
        <v>73</v>
      </c>
      <c r="AT12" s="46" t="n">
        <f aca="false">AT10*3</f>
        <v>49095.248070843</v>
      </c>
      <c r="AU12" s="46"/>
      <c r="AV12" s="70"/>
      <c r="AW12" s="70"/>
    </row>
    <row r="13" customFormat="false" ht="15" hidden="false" customHeight="true" outlineLevel="0" collapsed="false">
      <c r="B13" s="62" t="s">
        <v>145</v>
      </c>
      <c r="C13" s="63" t="n">
        <f aca="false">VLOOKUP($B13,Unidades!$D$5:$N$29,6,FALSE())</f>
        <v>334.4</v>
      </c>
      <c r="D13" s="63" t="n">
        <f aca="false">VLOOKUP($B13,Unidades!$D$5:$N$29,7,FALSE())</f>
        <v>296</v>
      </c>
      <c r="E13" s="63" t="n">
        <f aca="false">VLOOKUP($B13,Unidades!$D$5:$N$29,8,FALSE())</f>
        <v>38.4</v>
      </c>
      <c r="F13" s="63" t="n">
        <f aca="false">VLOOKUP($B13,Unidades!$D$5:$N$29,9,FALSE())</f>
        <v>0</v>
      </c>
      <c r="G13" s="63" t="n">
        <f aca="false">D13+$E$6*E13+$F$6*F13</f>
        <v>309.44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N13*(C$22+D$22),N13*(C$22+D$22)+(M13*+E$22))</f>
        <v>1873.2195</v>
      </c>
      <c r="P13" s="66"/>
      <c r="Q13" s="23" t="str">
        <f aca="false">B13</f>
        <v>APS PALOTINA</v>
      </c>
      <c r="R13" s="25" t="n">
        <f aca="false">H13*($C$22+$D$22)</f>
        <v>93.195</v>
      </c>
      <c r="S13" s="25" t="n">
        <f aca="false">I13*($C$22+$D$22)</f>
        <v>111.834</v>
      </c>
      <c r="T13" s="25" t="n">
        <f aca="false">L13*($C$22+$D$22)</f>
        <v>102.5145</v>
      </c>
      <c r="U13" s="25" t="n">
        <f aca="false">IF(K13="não",M13*($C$22+$D$22),M13*(C$22+D$22+E$22))</f>
        <v>102.5145</v>
      </c>
      <c r="V13" s="25" t="n">
        <f aca="false">VLOOKUP(Q13,'Desl. Base Cascavel'!$C$5:$S$16,13,FALSE())*($C$22+$D$22+$E$22*(VLOOKUP(Q13,'Desl. Base Cascavel'!$C$5:$S$16,17,FALSE())/12))</f>
        <v>138.23925</v>
      </c>
      <c r="W13" s="25" t="n">
        <f aca="false">VLOOKUP(Q13,'Desl. Base Cascavel'!$C$5:$S$16,15,FALSE())*(2+(VLOOKUP(Q13,'Desl. Base Cascavel'!$C$5:$S$16,17,FALSE())/12))</f>
        <v>0</v>
      </c>
      <c r="X13" s="25" t="n">
        <f aca="false">VLOOKUP(Q13,'Desl. Base Cascavel'!$C$5:$Q$16,14,FALSE())</f>
        <v>0</v>
      </c>
      <c r="Y13" s="25" t="n">
        <f aca="false">VLOOKUP(Q13,'Desl. Base Cascavel'!$C$5:Q$16,13,FALSE())*'Desl. Base Cascavel'!$E$21+'Desl. Base Cascavel'!$E$22*N13/12</f>
        <v>134.697125</v>
      </c>
      <c r="Z13" s="25" t="n">
        <f aca="false">(H13/$AC$5)*'Equipe Técnica'!$C$13</f>
        <v>276.809578468237</v>
      </c>
      <c r="AA13" s="25" t="n">
        <f aca="false">(I13/$AC$5)*'Equipe Técnica'!$C$13</f>
        <v>332.171494161884</v>
      </c>
      <c r="AB13" s="25" t="n">
        <f aca="false">(L13/$AC$5)*'Equipe Técnica'!$C$13</f>
        <v>304.49053631506</v>
      </c>
      <c r="AC13" s="25" t="n">
        <f aca="false">(M13/$AC$5)*'Equipe Técnica'!$C$13</f>
        <v>304.49053631506</v>
      </c>
      <c r="AD13" s="25" t="n">
        <f aca="false">R13+(($V13+$W13+$X13+$Y13)*12/19)+$Z13</f>
        <v>542.385446889289</v>
      </c>
      <c r="AE13" s="25" t="n">
        <f aca="false">S13+(($V13+$W13+$X13+$Y13)*12/19)+$AA13</f>
        <v>616.386362582937</v>
      </c>
      <c r="AF13" s="25" t="n">
        <f aca="false">T13+(($V13+$W13+$X13+$Y13)*12/19)+$AB13</f>
        <v>579.385904736113</v>
      </c>
      <c r="AG13" s="25" t="n">
        <f aca="false">U13+(($V13+$W13+$X13+$Y13)*12/19)+$AC13</f>
        <v>579.385904736113</v>
      </c>
      <c r="AH13" s="132"/>
      <c r="AI13" s="23" t="str">
        <f aca="false">B13</f>
        <v>APS PALOTINA</v>
      </c>
      <c r="AJ13" s="67" t="n">
        <f aca="false">VLOOKUP(AI13,Unidades!D$5:H$29,5,)</f>
        <v>0.2354</v>
      </c>
      <c r="AK13" s="46" t="n">
        <f aca="false">AD13*(1+$AJ13)</f>
        <v>670.062981087028</v>
      </c>
      <c r="AL13" s="46" t="n">
        <f aca="false">AE13*(1+$AJ13)</f>
        <v>761.48371233496</v>
      </c>
      <c r="AM13" s="46" t="n">
        <f aca="false">AF13*(1+$AJ13)</f>
        <v>715.773346710994</v>
      </c>
      <c r="AN13" s="46" t="n">
        <f aca="false">AG13*(1+$AJ13)</f>
        <v>715.773346710994</v>
      </c>
      <c r="AO13" s="46" t="n">
        <f aca="false">((AK13*12)+(AL13*4)+(AM13*2)+AN13)/12</f>
        <v>1102.83422187643</v>
      </c>
      <c r="AP13" s="46" t="n">
        <f aca="false">AO13*3</f>
        <v>3308.50266562929</v>
      </c>
      <c r="AQ13" s="46" t="n">
        <f aca="false">AO13+AP13</f>
        <v>4411.33688750572</v>
      </c>
      <c r="AR13" s="68"/>
      <c r="AS13" s="71" t="s">
        <v>91</v>
      </c>
      <c r="AT13" s="46" t="n">
        <f aca="false">AT12*12</f>
        <v>589142.976850117</v>
      </c>
      <c r="AU13" s="46"/>
      <c r="AV13" s="70"/>
      <c r="AW13" s="70"/>
    </row>
    <row r="14" customFormat="false" ht="15" hidden="false" customHeight="true" outlineLevel="0" collapsed="false">
      <c r="B14" s="62" t="s">
        <v>146</v>
      </c>
      <c r="C14" s="63" t="n">
        <f aca="false">VLOOKUP($B14,Unidades!$D$5:$N$29,6,FALSE())</f>
        <v>567.94</v>
      </c>
      <c r="D14" s="63" t="n">
        <f aca="false">VLOOKUP($B14,Unidades!$D$5:$N$29,7,FALSE())</f>
        <v>450.82</v>
      </c>
      <c r="E14" s="63" t="n">
        <f aca="false">VLOOKUP($B14,Unidades!$D$5:$N$29,8,FALSE())</f>
        <v>117.12</v>
      </c>
      <c r="F14" s="63" t="n">
        <f aca="false">VLOOKUP($B14,Unidades!$D$5:$N$29,9,FALSE())</f>
        <v>0</v>
      </c>
      <c r="G14" s="63" t="n">
        <f aca="false">D14+$E$6*E14+$F$6*F14</f>
        <v>491.812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VLOOKUP($B14,Unidades!$D$5:$N$29,10,FALSE())</f>
        <v>NÃO</v>
      </c>
      <c r="K14" s="64" t="str">
        <f aca="false">VLOOKUP($B14,Unidades!$D$5:$N$29,11,FALSE())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N14*(C$22+D$22),N14*(C$22+D$22)+(M14*+E$22))</f>
        <v>1873.2195</v>
      </c>
      <c r="P14" s="66"/>
      <c r="Q14" s="23" t="str">
        <f aca="false">B14</f>
        <v>APS GUAÍRA</v>
      </c>
      <c r="R14" s="25" t="n">
        <f aca="false">H14*($C$22+$D$22)</f>
        <v>93.195</v>
      </c>
      <c r="S14" s="25" t="n">
        <f aca="false">I14*($C$22+$D$22)</f>
        <v>111.834</v>
      </c>
      <c r="T14" s="25" t="n">
        <f aca="false">L14*($C$22+$D$22)</f>
        <v>102.5145</v>
      </c>
      <c r="U14" s="25" t="n">
        <f aca="false">IF(K14="não",M14*($C$22+$D$22),M14*(C$22+D$22+E$22))</f>
        <v>102.5145</v>
      </c>
      <c r="V14" s="25" t="n">
        <f aca="false">VLOOKUP(Q14,'Desl. Base Cascavel'!$C$5:$S$16,13,FALSE())*($C$22+$D$22+$E$22*(VLOOKUP(Q14,'Desl. Base Cascavel'!$C$5:$S$16,17,FALSE())/12))</f>
        <v>138.23925</v>
      </c>
      <c r="W14" s="25" t="n">
        <f aca="false">VLOOKUP(Q14,'Desl. Base Cascavel'!$C$5:$S$16,15,FALSE())*(2+(VLOOKUP(Q14,'Desl. Base Cascavel'!$C$5:$S$16,17,FALSE())/12))</f>
        <v>0</v>
      </c>
      <c r="X14" s="25" t="n">
        <f aca="false">VLOOKUP(Q14,'Desl. Base Cascavel'!$C$5:$Q$16,14,FALSE())</f>
        <v>0</v>
      </c>
      <c r="Y14" s="25" t="n">
        <f aca="false">VLOOKUP(Q14,'Desl. Base Cascavel'!$C$5:Q$16,13,FALSE())*'Desl. Base Cascavel'!$E$21+'Desl. Base Cascavel'!$E$22*N14/12</f>
        <v>134.697125</v>
      </c>
      <c r="Z14" s="25" t="n">
        <f aca="false">(H14/$AC$5)*'Equipe Técnica'!$C$13</f>
        <v>276.809578468237</v>
      </c>
      <c r="AA14" s="25" t="n">
        <f aca="false">(I14/$AC$5)*'Equipe Técnica'!$C$13</f>
        <v>332.171494161884</v>
      </c>
      <c r="AB14" s="25" t="n">
        <f aca="false">(L14/$AC$5)*'Equipe Técnica'!$C$13</f>
        <v>304.49053631506</v>
      </c>
      <c r="AC14" s="25" t="n">
        <f aca="false">(M14/$AC$5)*'Equipe Técnica'!$C$13</f>
        <v>304.49053631506</v>
      </c>
      <c r="AD14" s="25" t="n">
        <f aca="false">R14+(($V14+$W14+$X14+$Y14)*12/19)+$Z14</f>
        <v>542.385446889289</v>
      </c>
      <c r="AE14" s="25" t="n">
        <f aca="false">S14+(($V14+$W14+$X14+$Y14)*12/19)+$AA14</f>
        <v>616.386362582937</v>
      </c>
      <c r="AF14" s="25" t="n">
        <f aca="false">T14+(($V14+$W14+$X14+$Y14)*12/19)+$AB14</f>
        <v>579.385904736113</v>
      </c>
      <c r="AG14" s="25" t="n">
        <f aca="false">U14+(($V14+$W14+$X14+$Y14)*12/19)+$AC14</f>
        <v>579.385904736113</v>
      </c>
      <c r="AH14" s="132"/>
      <c r="AI14" s="23" t="str">
        <f aca="false">B14</f>
        <v>APS GUAÍRA</v>
      </c>
      <c r="AJ14" s="67" t="n">
        <f aca="false">VLOOKUP(AI14,Unidades!D$5:H$29,5,)</f>
        <v>0.2487</v>
      </c>
      <c r="AK14" s="46" t="n">
        <f aca="false">AD14*(1+$AJ14)</f>
        <v>677.276707530656</v>
      </c>
      <c r="AL14" s="46" t="n">
        <f aca="false">AE14*(1+$AJ14)</f>
        <v>769.681650957313</v>
      </c>
      <c r="AM14" s="46" t="n">
        <f aca="false">AF14*(1+$AJ14)</f>
        <v>723.479179243984</v>
      </c>
      <c r="AN14" s="46" t="n">
        <f aca="false">AG14*(1+$AJ14)</f>
        <v>723.479179243984</v>
      </c>
      <c r="AO14" s="46" t="n">
        <f aca="false">((AK14*12)+(AL14*4)+(AM14*2)+AN14)/12</f>
        <v>1114.70705266076</v>
      </c>
      <c r="AP14" s="46" t="n">
        <f aca="false">AO14*3</f>
        <v>3344.12115798227</v>
      </c>
      <c r="AQ14" s="46" t="n">
        <f aca="false">AO14+AP14</f>
        <v>4458.82821064302</v>
      </c>
      <c r="AR14" s="68"/>
      <c r="AS14" s="71" t="s">
        <v>93</v>
      </c>
      <c r="AT14" s="46" t="n">
        <f aca="false">AT10+AT12</f>
        <v>65460.3307611241</v>
      </c>
      <c r="AU14" s="46"/>
      <c r="AV14" s="70"/>
      <c r="AW14" s="70"/>
    </row>
    <row r="15" customFormat="false" ht="15" hidden="false" customHeight="true" outlineLevel="0" collapsed="false">
      <c r="B15" s="62" t="s">
        <v>147</v>
      </c>
      <c r="C15" s="63" t="n">
        <f aca="false">VLOOKUP($B15,Unidades!$D$5:$N$29,6,FALSE())</f>
        <v>1340</v>
      </c>
      <c r="D15" s="63" t="n">
        <f aca="false">VLOOKUP($B15,Unidades!$D$5:$N$29,7,FALSE())</f>
        <v>695.46</v>
      </c>
      <c r="E15" s="63" t="n">
        <f aca="false">VLOOKUP($B15,Unidades!$D$5:$N$29,8,FALSE())</f>
        <v>389.89</v>
      </c>
      <c r="F15" s="63" t="n">
        <f aca="false">VLOOKUP($B15,Unidades!$D$5:$N$29,9,FALSE())</f>
        <v>254.65</v>
      </c>
      <c r="G15" s="63" t="n">
        <f aca="false">D15+$E$6*E15+$F$6*F15</f>
        <v>857.3865</v>
      </c>
      <c r="H15" s="64" t="n">
        <f aca="false">IF(G15&lt;750,1.5,IF(G15&lt;2000,2,3))</f>
        <v>2</v>
      </c>
      <c r="I15" s="64" t="n">
        <f aca="false">$I$6*H15</f>
        <v>2.4</v>
      </c>
      <c r="J15" s="64" t="str">
        <f aca="false">VLOOKUP($B15,Unidades!$D$5:$N$29,10,FALSE())</f>
        <v>NÃO</v>
      </c>
      <c r="K15" s="64" t="str">
        <f aca="false">VLOOKUP($B15,Unidades!$D$5:$N$29,11,FALSE())</f>
        <v>NÃO</v>
      </c>
      <c r="L15" s="64" t="n">
        <f aca="false">$L$6*H15+(IF(J15="SIM",$J$6,0))</f>
        <v>2.2</v>
      </c>
      <c r="M15" s="64" t="n">
        <f aca="false">$M$6*H15+(IF(J15="SIM",$J$6,0))+(IF(K15="SIM",$K$6,0))</f>
        <v>2.2</v>
      </c>
      <c r="N15" s="64" t="n">
        <f aca="false">H15*12+I15*4+L15*2+M15</f>
        <v>40.2</v>
      </c>
      <c r="O15" s="65" t="n">
        <f aca="false">IF(K15="não", N15*(C$22+D$22),N15*(C$22+D$22)+(M15*+E$22))</f>
        <v>2497.626</v>
      </c>
      <c r="P15" s="66"/>
      <c r="Q15" s="23" t="str">
        <f aca="false">B15</f>
        <v>APS MEDIANEIRA</v>
      </c>
      <c r="R15" s="25" t="n">
        <f aca="false">H15*($C$22+$D$22)</f>
        <v>124.26</v>
      </c>
      <c r="S15" s="25" t="n">
        <f aca="false">I15*($C$22+$D$22)</f>
        <v>149.112</v>
      </c>
      <c r="T15" s="25" t="n">
        <f aca="false">L15*($C$22+$D$22)</f>
        <v>136.686</v>
      </c>
      <c r="U15" s="25" t="n">
        <f aca="false">IF(K15="não",M15*($C$22+$D$22),M15*(C$22+D$22+E$22))</f>
        <v>136.686</v>
      </c>
      <c r="V15" s="25" t="n">
        <f aca="false">VLOOKUP(Q15,'Desl. Base Cascavel'!$C$5:$S$16,13,FALSE())*($C$22+$D$22+$E$22*(VLOOKUP(Q15,'Desl. Base Cascavel'!$C$5:$S$16,17,FALSE())/12))</f>
        <v>92.67725</v>
      </c>
      <c r="W15" s="25" t="n">
        <f aca="false">VLOOKUP(Q15,'Desl. Base Cascavel'!$C$5:$S$16,15,FALSE())*(2+(VLOOKUP(Q15,'Desl. Base Cascavel'!$C$5:$S$16,17,FALSE())/12))</f>
        <v>0</v>
      </c>
      <c r="X15" s="25" t="n">
        <f aca="false">VLOOKUP(Q15,'Desl. Base Cascavel'!$C$5:$Q$16,14,FALSE())</f>
        <v>0</v>
      </c>
      <c r="Y15" s="25" t="n">
        <f aca="false">VLOOKUP(Q15,'Desl. Base Cascavel'!$C$5:Q$16,13,FALSE())*'Desl. Base Cascavel'!$E$21+'Desl. Base Cascavel'!$E$22*N15/12</f>
        <v>101.878416666667</v>
      </c>
      <c r="Z15" s="25" t="n">
        <f aca="false">(H15/$AC$5)*'Equipe Técnica'!$C$13</f>
        <v>369.079437957649</v>
      </c>
      <c r="AA15" s="25" t="n">
        <f aca="false">(I15/$AC$5)*'Equipe Técnica'!$C$13</f>
        <v>442.895325549179</v>
      </c>
      <c r="AB15" s="25" t="n">
        <f aca="false">(L15/$AC$5)*'Equipe Técnica'!$C$13</f>
        <v>405.987381753414</v>
      </c>
      <c r="AC15" s="25" t="n">
        <f aca="false">(M15/$AC$5)*'Equipe Técnica'!$C$13</f>
        <v>405.987381753414</v>
      </c>
      <c r="AD15" s="25" t="n">
        <f aca="false">R15+(($V15+$W15+$X15+$Y15)*12/19)+$Z15</f>
        <v>616.216701115544</v>
      </c>
      <c r="AE15" s="25" t="n">
        <f aca="false">S15+(($V15+$W15+$X15+$Y15)*12/19)+$AA15</f>
        <v>714.884588707074</v>
      </c>
      <c r="AF15" s="25" t="n">
        <f aca="false">T15+(($V15+$W15+$X15+$Y15)*12/19)+$AB15</f>
        <v>665.550644911309</v>
      </c>
      <c r="AG15" s="25" t="n">
        <f aca="false">U15+(($V15+$W15+$X15+$Y15)*12/19)+$AC15</f>
        <v>665.550644911309</v>
      </c>
      <c r="AH15" s="132"/>
      <c r="AI15" s="23" t="str">
        <f aca="false">B15</f>
        <v>APS MEDIANEIRA</v>
      </c>
      <c r="AJ15" s="67" t="n">
        <f aca="false">VLOOKUP(AI15,Unidades!D$5:H$29,5,)</f>
        <v>0.2354</v>
      </c>
      <c r="AK15" s="46" t="n">
        <f aca="false">AD15*(1+$AJ15)</f>
        <v>761.274112558143</v>
      </c>
      <c r="AL15" s="46" t="n">
        <f aca="false">AE15*(1+$AJ15)</f>
        <v>883.168420888719</v>
      </c>
      <c r="AM15" s="46" t="n">
        <f aca="false">AF15*(1+$AJ15)</f>
        <v>822.221266723431</v>
      </c>
      <c r="AN15" s="46" t="n">
        <f aca="false">AG15*(1+$AJ15)</f>
        <v>822.221266723431</v>
      </c>
      <c r="AO15" s="46" t="n">
        <f aca="false">((AK15*12)+(AL15*4)+(AM15*2)+AN15)/12</f>
        <v>1261.21890286857</v>
      </c>
      <c r="AP15" s="46" t="n">
        <f aca="false">AO15*3</f>
        <v>3783.65670860572</v>
      </c>
      <c r="AQ15" s="46" t="n">
        <f aca="false">AO15+AP15</f>
        <v>5044.87561147429</v>
      </c>
      <c r="AR15" s="68"/>
      <c r="AS15" s="71" t="s">
        <v>95</v>
      </c>
      <c r="AT15" s="46" t="n">
        <f aca="false">AT11+AT13</f>
        <v>785523.969133489</v>
      </c>
      <c r="AU15" s="46"/>
      <c r="AV15" s="70"/>
      <c r="AW15" s="70"/>
    </row>
    <row r="16" customFormat="false" ht="15" hidden="false" customHeight="true" outlineLevel="0" collapsed="false">
      <c r="B16" s="62" t="s">
        <v>148</v>
      </c>
      <c r="C16" s="63" t="n">
        <f aca="false">VLOOKUP($B16,Unidades!$D$5:$N$29,6,FALSE())</f>
        <v>334.4</v>
      </c>
      <c r="D16" s="63" t="n">
        <f aca="false">VLOOKUP($B16,Unidades!$D$5:$N$29,7,FALSE())</f>
        <v>296</v>
      </c>
      <c r="E16" s="63" t="n">
        <f aca="false">VLOOKUP($B16,Unidades!$D$5:$N$29,8,FALSE())</f>
        <v>38.4</v>
      </c>
      <c r="F16" s="63" t="n">
        <f aca="false">VLOOKUP($B16,Unidades!$D$5:$N$29,9,FALSE())</f>
        <v>0</v>
      </c>
      <c r="G16" s="63" t="n">
        <f aca="false">D16+$E$6*E16+$F$6*F16</f>
        <v>309.44</v>
      </c>
      <c r="H16" s="64" t="n">
        <f aca="false">IF(G16&lt;750,1.5,IF(G16&lt;2000,2,3))</f>
        <v>1.5</v>
      </c>
      <c r="I16" s="64" t="n">
        <f aca="false">$I$6*H16</f>
        <v>1.8</v>
      </c>
      <c r="J16" s="64" t="str">
        <f aca="false">VLOOKUP($B16,Unidades!$D$5:$N$29,10,FALSE())</f>
        <v>NÃO</v>
      </c>
      <c r="K16" s="64" t="str">
        <f aca="false">VLOOKUP($B16,Unidades!$D$5:$N$29,11,FALSE())</f>
        <v>NÃO</v>
      </c>
      <c r="L16" s="64" t="n">
        <f aca="false">$L$6*H16+(IF(J16="SIM",$J$6,0))</f>
        <v>1.65</v>
      </c>
      <c r="M16" s="64" t="n">
        <f aca="false">$M$6*H16+(IF(J16="SIM",$J$6,0))+(IF(K16="SIM",$K$6,0))</f>
        <v>1.65</v>
      </c>
      <c r="N16" s="64" t="n">
        <f aca="false">H16*12+I16*4+L16*2+M16</f>
        <v>30.15</v>
      </c>
      <c r="O16" s="65" t="n">
        <f aca="false">IF(K16="não", N16*(C$22+D$22),N16*(C$22+D$22)+(M16*+E$22))</f>
        <v>1873.2195</v>
      </c>
      <c r="P16" s="66"/>
      <c r="Q16" s="23" t="str">
        <f aca="false">B16</f>
        <v>APS SÃO MIGUEL DO IGUAÇU</v>
      </c>
      <c r="R16" s="25" t="n">
        <f aca="false">H16*($C$22+$D$22)</f>
        <v>93.195</v>
      </c>
      <c r="S16" s="25" t="n">
        <f aca="false">I16*($C$22+$D$22)</f>
        <v>111.834</v>
      </c>
      <c r="T16" s="25" t="n">
        <f aca="false">L16*($C$22+$D$22)</f>
        <v>102.5145</v>
      </c>
      <c r="U16" s="25" t="n">
        <f aca="false">IF(K16="não",M16*($C$22+$D$22),M16*(C$22+D$22+E$22))</f>
        <v>102.5145</v>
      </c>
      <c r="V16" s="25" t="n">
        <f aca="false">VLOOKUP(Q16,'Desl. Base Cascavel'!$C$5:$S$16,13,FALSE())*($C$22+$D$22+$E$22*(VLOOKUP(Q16,'Desl. Base Cascavel'!$C$5:$S$16,17,FALSE())/12))</f>
        <v>92.67725</v>
      </c>
      <c r="W16" s="25" t="n">
        <f aca="false">VLOOKUP(Q16,'Desl. Base Cascavel'!$C$5:$S$16,15,FALSE())*(2+(VLOOKUP(Q16,'Desl. Base Cascavel'!$C$5:$S$16,17,FALSE())/12))</f>
        <v>0</v>
      </c>
      <c r="X16" s="25" t="n">
        <f aca="false">VLOOKUP(Q16,'Desl. Base Cascavel'!$C$5:$Q$16,14,FALSE())</f>
        <v>0</v>
      </c>
      <c r="Y16" s="25" t="n">
        <f aca="false">VLOOKUP(Q16,'Desl. Base Cascavel'!$C$5:Q$16,13,FALSE())*'Desl. Base Cascavel'!$E$21+'Desl. Base Cascavel'!$E$22*N16/12</f>
        <v>96.0577916666667</v>
      </c>
      <c r="Z16" s="25" t="n">
        <f aca="false">(H16/$AC$5)*'Equipe Técnica'!$C$13</f>
        <v>276.809578468237</v>
      </c>
      <c r="AA16" s="25" t="n">
        <f aca="false">(I16/$AC$5)*'Equipe Técnica'!$C$13</f>
        <v>332.171494161884</v>
      </c>
      <c r="AB16" s="25" t="n">
        <f aca="false">(L16/$AC$5)*'Equipe Técnica'!$C$13</f>
        <v>304.49053631506</v>
      </c>
      <c r="AC16" s="25" t="n">
        <f aca="false">(M16/$AC$5)*'Equipe Técnica'!$C$13</f>
        <v>304.49053631506</v>
      </c>
      <c r="AD16" s="25" t="n">
        <f aca="false">R16+(($V16+$W16+$X16+$Y16)*12/19)+$Z16</f>
        <v>489.205657415605</v>
      </c>
      <c r="AE16" s="25" t="n">
        <f aca="false">S16+(($V16+$W16+$X16+$Y16)*12/19)+$AA16</f>
        <v>563.206573109252</v>
      </c>
      <c r="AF16" s="25" t="n">
        <f aca="false">T16+(($V16+$W16+$X16+$Y16)*12/19)+$AB16</f>
        <v>526.206115262429</v>
      </c>
      <c r="AG16" s="25" t="n">
        <f aca="false">U16+(($V16+$W16+$X16+$Y16)*12/19)+$AC16</f>
        <v>526.206115262429</v>
      </c>
      <c r="AH16" s="132"/>
      <c r="AI16" s="23" t="str">
        <f aca="false">B16</f>
        <v>APS SÃO MIGUEL DO IGUAÇU</v>
      </c>
      <c r="AJ16" s="67" t="n">
        <f aca="false">VLOOKUP(AI16,Unidades!D$5:H$29,5,)</f>
        <v>0.2354</v>
      </c>
      <c r="AK16" s="46" t="n">
        <f aca="false">AD16*(1+$AJ16)</f>
        <v>604.364669171239</v>
      </c>
      <c r="AL16" s="46" t="n">
        <f aca="false">AE16*(1+$AJ16)</f>
        <v>695.785400419171</v>
      </c>
      <c r="AM16" s="46" t="n">
        <f aca="false">AF16*(1+$AJ16)</f>
        <v>650.075034795205</v>
      </c>
      <c r="AN16" s="46" t="n">
        <f aca="false">AG16*(1+$AJ16)</f>
        <v>650.075034795205</v>
      </c>
      <c r="AO16" s="46" t="n">
        <f aca="false">((AK16*12)+(AL16*4)+(AM16*2)+AN16)/12</f>
        <v>998.81189467643</v>
      </c>
      <c r="AP16" s="46" t="n">
        <f aca="false">AO16*3</f>
        <v>2996.43568402929</v>
      </c>
      <c r="AQ16" s="46" t="n">
        <f aca="false">AO16+AP16</f>
        <v>3995.24757870572</v>
      </c>
      <c r="AR16" s="68"/>
      <c r="AS16" s="133"/>
      <c r="AT16" s="134"/>
      <c r="AU16" s="134"/>
      <c r="AV16" s="70"/>
      <c r="AW16" s="70"/>
    </row>
    <row r="17" customFormat="false" ht="15" hidden="false" customHeight="true" outlineLevel="0" collapsed="false">
      <c r="B17" s="62" t="s">
        <v>149</v>
      </c>
      <c r="C17" s="63" t="n">
        <f aca="false">VLOOKUP($B17,Unidades!$D$5:$N$29,6,FALSE())</f>
        <v>3100</v>
      </c>
      <c r="D17" s="63" t="n">
        <f aca="false">VLOOKUP($B17,Unidades!$D$5:$N$29,7,FALSE())</f>
        <v>2069.99</v>
      </c>
      <c r="E17" s="63" t="n">
        <f aca="false">VLOOKUP($B17,Unidades!$D$5:$N$29,8,FALSE())</f>
        <v>964.36</v>
      </c>
      <c r="F17" s="63" t="n">
        <f aca="false">VLOOKUP($B17,Unidades!$D$5:$N$29,9,FALSE())</f>
        <v>65.65</v>
      </c>
      <c r="G17" s="63" t="n">
        <f aca="false">D17+$E$6*E17+$F$6*F17</f>
        <v>2414.081</v>
      </c>
      <c r="H17" s="64" t="n">
        <f aca="false">IF(G17&lt;750,1.5,IF(G17&lt;2000,2,3))</f>
        <v>3</v>
      </c>
      <c r="I17" s="64" t="n">
        <f aca="false">$I$6*H17</f>
        <v>3.6</v>
      </c>
      <c r="J17" s="64" t="str">
        <f aca="false">VLOOKUP($B17,Unidades!$D$5:$N$29,10,FALSE())</f>
        <v>SIM</v>
      </c>
      <c r="K17" s="64" t="str">
        <f aca="false">VLOOKUP($B17,Unidades!$D$5:$N$29,11,FALSE())</f>
        <v>SIM</v>
      </c>
      <c r="L17" s="64" t="n">
        <f aca="false">$L$6*H17+(IF(J17="SIM",$J$6,0))</f>
        <v>5.3</v>
      </c>
      <c r="M17" s="64" t="n">
        <f aca="false">$M$6*H17+(IF(J17="SIM",$J$6,0))+(IF(K17="SIM",$K$6,0))</f>
        <v>9.3</v>
      </c>
      <c r="N17" s="64" t="n">
        <f aca="false">H17*12+I17*4+L17*2+M17</f>
        <v>70.3</v>
      </c>
      <c r="O17" s="65" t="n">
        <f aca="false">IF(K17="não", N17*(C$22+D$22),N17*(C$22+D$22)+(M17*+E$22))</f>
        <v>4749.969</v>
      </c>
      <c r="P17" s="66"/>
      <c r="Q17" s="23" t="str">
        <f aca="false">B17</f>
        <v>APS FOZ DO IGUAÇU</v>
      </c>
      <c r="R17" s="25" t="n">
        <f aca="false">H17*($C$22+$D$22)</f>
        <v>186.39</v>
      </c>
      <c r="S17" s="25" t="n">
        <f aca="false">I17*($C$22+$D$22)</f>
        <v>223.668</v>
      </c>
      <c r="T17" s="25" t="n">
        <f aca="false">L17*($C$22+$D$22)</f>
        <v>329.289</v>
      </c>
      <c r="U17" s="25" t="n">
        <f aca="false">IF(K17="não",M17*($C$22+$D$22),M17*(C$22+D$22+E$22))</f>
        <v>960.039</v>
      </c>
      <c r="V17" s="25" t="n">
        <f aca="false">VLOOKUP(Q17,'Desl. Base Cascavel'!$C$5:$S$16,13,FALSE())*($C$22+$D$22+$E$22*(VLOOKUP(Q17,'Desl. Base Cascavel'!$C$5:$S$16,17,FALSE())/12))</f>
        <v>256.757083333333</v>
      </c>
      <c r="W17" s="25" t="n">
        <f aca="false">VLOOKUP(Q17,'Desl. Base Cascavel'!$C$5:$S$16,15,FALSE())*(2+(VLOOKUP(Q17,'Desl. Base Cascavel'!$C$5:$S$16,17,FALSE())/12))</f>
        <v>0</v>
      </c>
      <c r="X17" s="25" t="n">
        <f aca="false">VLOOKUP(Q17,'Desl. Base Cascavel'!$C$5:$Q$16,14,FALSE())</f>
        <v>0</v>
      </c>
      <c r="Y17" s="25" t="n">
        <f aca="false">VLOOKUP(Q17,'Desl. Base Cascavel'!$C$5:Q$16,13,FALSE())*'Desl. Base Cascavel'!$E$21+'Desl. Base Cascavel'!$E$22*N17/12</f>
        <v>247.084583333333</v>
      </c>
      <c r="Z17" s="25" t="n">
        <f aca="false">(H17/$AC$5)*'Equipe Técnica'!$C$13</f>
        <v>553.619156936474</v>
      </c>
      <c r="AA17" s="25" t="n">
        <f aca="false">(I17/$AC$5)*'Equipe Técnica'!$C$13</f>
        <v>664.342988323768</v>
      </c>
      <c r="AB17" s="25" t="n">
        <f aca="false">(L17/$AC$5)*'Equipe Técnica'!$C$13</f>
        <v>978.06051058777</v>
      </c>
      <c r="AC17" s="25" t="n">
        <f aca="false">(M17/$AC$5)*'Equipe Técnica'!$C$13</f>
        <v>1716.21938650307</v>
      </c>
      <c r="AD17" s="25" t="n">
        <f aca="false">R17+(($V17+$W17+$X17+$Y17)*12/19)+$Z17</f>
        <v>1058.22494641016</v>
      </c>
      <c r="AE17" s="25" t="n">
        <f aca="false">S17+(($V17+$W17+$X17+$Y17)*12/19)+$AA17</f>
        <v>1206.22677779745</v>
      </c>
      <c r="AF17" s="25" t="n">
        <f aca="false">T17+(($V17+$W17+$X17+$Y17)*12/19)+$AB17</f>
        <v>1625.56530006145</v>
      </c>
      <c r="AG17" s="25" t="n">
        <f aca="false">U17+(($V17+$W17+$X17+$Y17)*12/19)+$AC17</f>
        <v>2994.47417597675</v>
      </c>
      <c r="AH17" s="132"/>
      <c r="AI17" s="23" t="str">
        <f aca="false">B17</f>
        <v>APS FOZ DO IGUAÇU</v>
      </c>
      <c r="AJ17" s="67" t="n">
        <f aca="false">VLOOKUP(AI17,Unidades!D$5:H$29,5,)</f>
        <v>0.2487</v>
      </c>
      <c r="AK17" s="46" t="n">
        <f aca="false">AD17*(1+$AJ17)</f>
        <v>1321.40549058236</v>
      </c>
      <c r="AL17" s="46" t="n">
        <f aca="false">AE17*(1+$AJ17)</f>
        <v>1506.21537743568</v>
      </c>
      <c r="AM17" s="46" t="n">
        <f aca="false">AF17*(1+$AJ17)</f>
        <v>2029.84339018674</v>
      </c>
      <c r="AN17" s="46" t="n">
        <f aca="false">AG17*(1+$AJ17)</f>
        <v>3739.19990354217</v>
      </c>
      <c r="AO17" s="46" t="n">
        <f aca="false">((AK17*12)+(AL17*4)+(AM17*2)+AN17)/12</f>
        <v>2473.38450672056</v>
      </c>
      <c r="AP17" s="46" t="n">
        <f aca="false">AO17*3</f>
        <v>7420.15352016168</v>
      </c>
      <c r="AQ17" s="46" t="n">
        <f aca="false">AO17+AP17</f>
        <v>9893.53802688224</v>
      </c>
      <c r="AR17" s="68"/>
      <c r="AS17" s="133"/>
      <c r="AT17" s="134"/>
      <c r="AU17" s="134"/>
      <c r="AV17" s="70"/>
      <c r="AW17" s="70"/>
    </row>
    <row r="18" customFormat="false" ht="15" hidden="false" customHeight="true" outlineLevel="0" collapsed="false">
      <c r="B18" s="62" t="s">
        <v>150</v>
      </c>
      <c r="C18" s="63" t="n">
        <f aca="false">VLOOKUP($B18,Unidades!$D$5:$N$29,6,FALSE())</f>
        <v>334.4</v>
      </c>
      <c r="D18" s="63" t="n">
        <f aca="false">VLOOKUP($B18,Unidades!$D$5:$N$29,7,FALSE())</f>
        <v>296</v>
      </c>
      <c r="E18" s="63" t="n">
        <f aca="false">VLOOKUP($B18,Unidades!$D$5:$N$29,8,FALSE())</f>
        <v>38.4</v>
      </c>
      <c r="F18" s="63" t="n">
        <f aca="false">VLOOKUP($B18,Unidades!$D$5:$N$29,9,FALSE())</f>
        <v>0</v>
      </c>
      <c r="G18" s="63" t="n">
        <f aca="false">D18+$E$6*E18+$F$6*F18</f>
        <v>309.44</v>
      </c>
      <c r="H18" s="64" t="n">
        <f aca="false">IF(G18&lt;750,1.5,IF(G18&lt;2000,2,3))</f>
        <v>1.5</v>
      </c>
      <c r="I18" s="64" t="n">
        <f aca="false">$I$6*H18</f>
        <v>1.8</v>
      </c>
      <c r="J18" s="64" t="str">
        <f aca="false">VLOOKUP($B18,Unidades!$D$5:$N$29,10,FALSE())</f>
        <v>NÃO</v>
      </c>
      <c r="K18" s="64" t="str">
        <f aca="false">VLOOKUP($B18,Unidades!$D$5:$N$29,11,FALSE())</f>
        <v>NÃO</v>
      </c>
      <c r="L18" s="64" t="n">
        <f aca="false">$L$6*H18+(IF(J18="SIM",$J$6,0))</f>
        <v>1.65</v>
      </c>
      <c r="M18" s="64" t="n">
        <f aca="false">$M$6*H18+(IF(J18="SIM",$J$6,0))+(IF(K18="SIM",$K$6,0))</f>
        <v>1.65</v>
      </c>
      <c r="N18" s="64" t="n">
        <f aca="false">H18*12+I18*4+L18*2+M18</f>
        <v>30.15</v>
      </c>
      <c r="O18" s="65" t="n">
        <f aca="false">IF(K18="não", N18*(C$22+D$22),N18*(C$22+D$22)+(M18*+E$22))</f>
        <v>1873.2195</v>
      </c>
      <c r="P18" s="66"/>
      <c r="Q18" s="23" t="str">
        <f aca="false">B18</f>
        <v>APS QUEDAS DO IGUAÇU</v>
      </c>
      <c r="R18" s="25" t="n">
        <f aca="false">H18*($C$22+$D$22)</f>
        <v>93.195</v>
      </c>
      <c r="S18" s="25" t="n">
        <f aca="false">I18*($C$22+$D$22)</f>
        <v>111.834</v>
      </c>
      <c r="T18" s="25" t="n">
        <f aca="false">L18*($C$22+$D$22)</f>
        <v>102.5145</v>
      </c>
      <c r="U18" s="25" t="n">
        <f aca="false">IF(K18="não",M18*($C$22+$D$22),M18*(C$22+D$22+E$22))</f>
        <v>102.5145</v>
      </c>
      <c r="V18" s="25" t="n">
        <f aca="false">VLOOKUP(Q18,'Desl. Base Cascavel'!$C$5:$S$16,13,FALSE())*($C$22+$D$22+$E$22*(VLOOKUP(Q18,'Desl. Base Cascavel'!$C$5:$S$16,17,FALSE())/12))</f>
        <v>218.4905</v>
      </c>
      <c r="W18" s="25" t="n">
        <f aca="false">VLOOKUP(Q18,'Desl. Base Cascavel'!$C$5:$S$16,15,FALSE())*(2+(VLOOKUP(Q18,'Desl. Base Cascavel'!$C$5:$S$16,17,FALSE())/12))</f>
        <v>0</v>
      </c>
      <c r="X18" s="25" t="n">
        <f aca="false">VLOOKUP(Q18,'Desl. Base Cascavel'!$C$5:$Q$16,14,FALSE())</f>
        <v>0</v>
      </c>
      <c r="Y18" s="25" t="n">
        <f aca="false">VLOOKUP(Q18,'Desl. Base Cascavel'!$C$5:Q$16,13,FALSE())*'Desl. Base Cascavel'!$E$21+'Desl. Base Cascavel'!$E$22*N18/12</f>
        <v>202.755041666667</v>
      </c>
      <c r="Z18" s="25" t="n">
        <f aca="false">(H18/$AC$5)*'Equipe Técnica'!$C$13</f>
        <v>276.809578468237</v>
      </c>
      <c r="AA18" s="25" t="n">
        <f aca="false">(I18/$AC$5)*'Equipe Técnica'!$C$13</f>
        <v>332.171494161884</v>
      </c>
      <c r="AB18" s="25" t="n">
        <f aca="false">(L18/$AC$5)*'Equipe Técnica'!$C$13</f>
        <v>304.49053631506</v>
      </c>
      <c r="AC18" s="25" t="n">
        <f aca="false">(M18/$AC$5)*'Equipe Técnica'!$C$13</f>
        <v>304.49053631506</v>
      </c>
      <c r="AD18" s="25" t="n">
        <f aca="false">R18+(($V18+$W18+$X18+$Y18)*12/19)+$Z18</f>
        <v>636.05439425771</v>
      </c>
      <c r="AE18" s="25" t="n">
        <f aca="false">S18+(($V18+$W18+$X18+$Y18)*12/19)+$AA18</f>
        <v>710.055309951358</v>
      </c>
      <c r="AF18" s="25" t="n">
        <f aca="false">T18+(($V18+$W18+$X18+$Y18)*12/19)+$AB18</f>
        <v>673.054852104534</v>
      </c>
      <c r="AG18" s="25" t="n">
        <f aca="false">U18+(($V18+$W18+$X18+$Y18)*12/19)+$AC18</f>
        <v>673.054852104534</v>
      </c>
      <c r="AH18" s="132"/>
      <c r="AI18" s="23" t="str">
        <f aca="false">B18</f>
        <v>APS QUEDAS DO IGUAÇU</v>
      </c>
      <c r="AJ18" s="67" t="n">
        <f aca="false">VLOOKUP(AI18,Unidades!D$5:H$29,5,)</f>
        <v>0.2223</v>
      </c>
      <c r="AK18" s="46" t="n">
        <f aca="false">AD18*(1+$AJ18)</f>
        <v>777.449286101199</v>
      </c>
      <c r="AL18" s="46" t="n">
        <f aca="false">AE18*(1+$AJ18)</f>
        <v>867.900605353545</v>
      </c>
      <c r="AM18" s="46" t="n">
        <f aca="false">AF18*(1+$AJ18)</f>
        <v>822.674945727372</v>
      </c>
      <c r="AN18" s="46" t="n">
        <f aca="false">AG18*(1+$AJ18)</f>
        <v>822.674945727372</v>
      </c>
      <c r="AO18" s="46" t="n">
        <f aca="false">((AK18*12)+(AL18*4)+(AM18*2)+AN18)/12</f>
        <v>1272.41822431756</v>
      </c>
      <c r="AP18" s="46" t="n">
        <f aca="false">AO18*3</f>
        <v>3817.25467295267</v>
      </c>
      <c r="AQ18" s="46" t="n">
        <f aca="false">AO18+AP18</f>
        <v>5089.67289727023</v>
      </c>
      <c r="AR18" s="68"/>
      <c r="AS18" s="133"/>
      <c r="AT18" s="134"/>
      <c r="AU18" s="134"/>
      <c r="AV18" s="70"/>
      <c r="AW18" s="70"/>
    </row>
    <row r="19" s="135" customFormat="true" ht="19.5" hidden="false" customHeight="true" outlineLevel="0" collapsed="false">
      <c r="B19" s="136" t="s">
        <v>100</v>
      </c>
      <c r="C19" s="73" t="n">
        <f aca="false">SUM(C7:C18)</f>
        <v>14675.69</v>
      </c>
      <c r="D19" s="73" t="n">
        <f aca="false">SUM(D7:D18)</f>
        <v>8680.57</v>
      </c>
      <c r="E19" s="73" t="n">
        <f aca="false">SUM(E7:E18)</f>
        <v>4091.78</v>
      </c>
      <c r="F19" s="73" t="n">
        <f aca="false">SUM(F7:F18)</f>
        <v>703.34</v>
      </c>
      <c r="G19" s="73" t="n">
        <f aca="false">SUM(G7:G18)</f>
        <v>10183.027</v>
      </c>
      <c r="H19" s="74" t="n">
        <f aca="false">SUM(H7:H18)</f>
        <v>22</v>
      </c>
      <c r="I19" s="74" t="n">
        <f aca="false">SUM(I7:I18)</f>
        <v>26.4</v>
      </c>
      <c r="J19" s="74" t="n">
        <f aca="false">COUNTIF(J7:J18,"SIM")</f>
        <v>5</v>
      </c>
      <c r="K19" s="74" t="n">
        <f aca="false">COUNTIF(K7:K18,"SIM")</f>
        <v>4</v>
      </c>
      <c r="L19" s="74" t="n">
        <f aca="false">SUM(L7:L18)</f>
        <v>34.2</v>
      </c>
      <c r="M19" s="74" t="n">
        <f aca="false">SUM(M7:M18)</f>
        <v>50.2</v>
      </c>
      <c r="N19" s="74" t="n">
        <f aca="false">SUM(N7:N18)</f>
        <v>488.2</v>
      </c>
      <c r="O19" s="75" t="n">
        <f aca="false">SUM(O7:O18)</f>
        <v>31747.761</v>
      </c>
      <c r="P19" s="137"/>
      <c r="Q19" s="138" t="s">
        <v>100</v>
      </c>
      <c r="R19" s="77" t="n">
        <f aca="false">SUM(R7:R18)</f>
        <v>1366.86</v>
      </c>
      <c r="S19" s="77" t="n">
        <f aca="false">SUM(S7:S18)</f>
        <v>1640.232</v>
      </c>
      <c r="T19" s="77" t="n">
        <f aca="false">SUM(T7:T18)</f>
        <v>2124.846</v>
      </c>
      <c r="U19" s="77" t="n">
        <f aca="false">SUM(U7:U18)</f>
        <v>4534.821</v>
      </c>
      <c r="V19" s="77" t="n">
        <f aca="false">SUM(V7:V18)</f>
        <v>1537.66583333333</v>
      </c>
      <c r="W19" s="77" t="n">
        <f aca="false">SUM(W7:W18)</f>
        <v>0</v>
      </c>
      <c r="X19" s="77" t="n">
        <f aca="false">SUM(X7:X18)</f>
        <v>0</v>
      </c>
      <c r="Y19" s="77" t="n">
        <f aca="false">SUM(Y7:Y18)</f>
        <v>1556.09083333333</v>
      </c>
      <c r="Z19" s="77" t="n">
        <f aca="false">SUM(Z7:Z18)</f>
        <v>4059.87381753414</v>
      </c>
      <c r="AA19" s="77" t="n">
        <f aca="false">SUM(AA7:AA18)</f>
        <v>4871.84858104097</v>
      </c>
      <c r="AB19" s="77" t="n">
        <f aca="false">SUM(AB7:AB18)</f>
        <v>6311.2583890758</v>
      </c>
      <c r="AC19" s="77" t="n">
        <f aca="false">SUM(AC7:AC18)</f>
        <v>9263.89389273699</v>
      </c>
      <c r="AD19" s="77" t="n">
        <f aca="false">SUM(AD7:AD18)</f>
        <v>7380.68539648151</v>
      </c>
      <c r="AE19" s="77" t="n">
        <f aca="false">SUM(AE7:AE18)</f>
        <v>8466.03215998833</v>
      </c>
      <c r="AF19" s="77" t="n">
        <f aca="false">SUM(AF7:AF18)</f>
        <v>10390.0559680232</v>
      </c>
      <c r="AG19" s="77" t="n">
        <f aca="false">SUM(AG7:AG18)</f>
        <v>15752.6664716844</v>
      </c>
      <c r="AH19" s="38"/>
      <c r="AI19" s="74" t="s">
        <v>100</v>
      </c>
      <c r="AJ19" s="74"/>
      <c r="AK19" s="78" t="n">
        <f aca="false">SUM(AK7:AK18)</f>
        <v>9117.77063807349</v>
      </c>
      <c r="AL19" s="78" t="n">
        <f aca="false">SUM(AL7:AL18)</f>
        <v>10458.6524302592</v>
      </c>
      <c r="AM19" s="78" t="n">
        <f aca="false">SUM(AM7:AM18)</f>
        <v>12835.6679103184</v>
      </c>
      <c r="AN19" s="78" t="n">
        <f aca="false">SUM(AN7:AN18)</f>
        <v>19461.7990848166</v>
      </c>
      <c r="AO19" s="78" t="n">
        <f aca="false">SUM(AO7:AO18)</f>
        <v>16365.082690281</v>
      </c>
      <c r="AP19" s="78" t="n">
        <f aca="false">SUM(AP7:AP18)</f>
        <v>49095.248070843</v>
      </c>
      <c r="AQ19" s="78" t="n">
        <f aca="false">SUM(AQ7:AQ18)</f>
        <v>65460.3307611241</v>
      </c>
      <c r="AR19" s="68"/>
      <c r="AS19" s="68"/>
      <c r="AT19" s="68"/>
      <c r="AU19" s="68"/>
      <c r="AV19" s="68"/>
      <c r="AW19" s="68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</row>
    <row r="20" customFormat="false" ht="18" hidden="false" customHeight="true" outlineLevel="0" collapsed="false">
      <c r="B20" s="1"/>
      <c r="C20" s="1"/>
      <c r="D20" s="1"/>
      <c r="E20" s="1"/>
      <c r="F20" s="1"/>
      <c r="G20" s="1"/>
      <c r="H20" s="79"/>
      <c r="I20" s="1"/>
      <c r="J20" s="1"/>
      <c r="O20" s="1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D20" s="54"/>
      <c r="AE20" s="54"/>
      <c r="AF20" s="54"/>
      <c r="AG20" s="54"/>
      <c r="AH20" s="54"/>
      <c r="AS20" s="139"/>
      <c r="AT20" s="139"/>
      <c r="AU20" s="139"/>
      <c r="AV20" s="139"/>
      <c r="AW20" s="139"/>
    </row>
    <row r="21" customFormat="false" ht="39.75" hidden="false" customHeight="true" outlineLevel="0" collapsed="false">
      <c r="B21" s="44" t="s">
        <v>30</v>
      </c>
      <c r="C21" s="81" t="str">
        <f aca="false">'Base Maringá'!C22</f>
        <v>Oficial de Manutenção Predial</v>
      </c>
      <c r="D21" s="81" t="str">
        <f aca="false">'Base Maringá'!D22</f>
        <v>Ajudante (ref SINAPI/88241)</v>
      </c>
      <c r="E21" s="140" t="str">
        <f aca="false">'Base Maringá'!E22</f>
        <v>Eletrotécnico (ref. SINAPI/88266)</v>
      </c>
      <c r="N21" s="141"/>
      <c r="O21" s="142"/>
      <c r="R21" s="82"/>
      <c r="Z21" s="82"/>
      <c r="AA21" s="82"/>
      <c r="AB21" s="82"/>
      <c r="AC21" s="82"/>
    </row>
    <row r="22" customFormat="false" ht="18" hidden="false" customHeight="true" outlineLevel="0" collapsed="false">
      <c r="B22" s="44"/>
      <c r="C22" s="25" t="n">
        <f aca="false">'Base Maringá'!C23</f>
        <v>34.79</v>
      </c>
      <c r="D22" s="25" t="n">
        <f aca="false">'Base Maringá'!D23</f>
        <v>27.34</v>
      </c>
      <c r="E22" s="25" t="n">
        <f aca="false">'Base Maringá'!E23</f>
        <v>41.1</v>
      </c>
      <c r="N22" s="141"/>
      <c r="O22" s="142"/>
    </row>
    <row r="23" customFormat="false" ht="40.5" hidden="false" customHeight="true" outlineLevel="0" collapsed="false">
      <c r="B23" s="49" t="str">
        <f aca="false">'Base Maringá'!B24</f>
        <v>* Tabela SINAPI outubro/2023 (Não Desonerado)</v>
      </c>
      <c r="N23" s="142"/>
      <c r="O23" s="142"/>
    </row>
    <row r="24" customFormat="false" ht="13.5" hidden="false" customHeight="false" outlineLevel="0" collapsed="false">
      <c r="N24" s="142"/>
      <c r="O24" s="142"/>
    </row>
    <row r="25" customFormat="false" ht="13.5" hidden="false" customHeight="false" outlineLevel="0" collapsed="false">
      <c r="N25" s="142"/>
      <c r="O25" s="142"/>
    </row>
    <row r="26" customFormat="false" ht="15.75" hidden="false" customHeight="true" outlineLevel="0" collapsed="false">
      <c r="N26" s="142"/>
      <c r="O26" s="142"/>
    </row>
    <row r="27" customFormat="false" ht="13.5" hidden="false" customHeight="false" outlineLevel="0" collapsed="false">
      <c r="N27" s="142"/>
      <c r="O27" s="142"/>
    </row>
    <row r="28" customFormat="false" ht="13.5" hidden="false" customHeight="false" outlineLevel="0" collapsed="false">
      <c r="N28" s="142"/>
      <c r="O28" s="142"/>
    </row>
    <row r="29" customFormat="false" ht="13.5" hidden="false" customHeight="false" outlineLevel="0" collapsed="false">
      <c r="N29" s="142"/>
      <c r="O29" s="142"/>
    </row>
    <row r="30" customFormat="false" ht="13.5" hidden="false" customHeight="false" outlineLevel="0" collapsed="false">
      <c r="N30" s="142"/>
      <c r="O30" s="142"/>
    </row>
    <row r="31" customFormat="false" ht="13.5" hidden="false" customHeight="false" outlineLevel="0" collapsed="false">
      <c r="N31" s="142"/>
      <c r="O31" s="142"/>
    </row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9:AJ19"/>
    <mergeCell ref="B21:B22"/>
    <mergeCell ref="N21:N22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Z54"/>
  <sheetViews>
    <sheetView showFormulas="false" showGridLines="false" showRowColHeaders="true" showZeros="true" rightToLeft="false" tabSelected="false" showOutlineSymbols="true" defaultGridColor="true" view="normal" topLeftCell="A25" colorId="64" zoomScale="95" zoomScaleNormal="95" zoomScalePageLayoutView="100" workbookViewId="0">
      <selection pane="topLeft" activeCell="D11" activeCellId="0" sqref="D11"/>
    </sheetView>
  </sheetViews>
  <sheetFormatPr defaultColWidth="10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7" min="4" style="84" width="9.62"/>
    <col collapsed="false" customWidth="true" hidden="false" outlineLevel="0" max="66" min="18" style="84" width="10.75"/>
    <col collapsed="false" customWidth="true" hidden="false" outlineLevel="0" max="257" min="67" style="83" width="10.7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43" t="str">
        <f aca="false">"DESLOCAMENTO BASE "&amp;Resumo!B6</f>
        <v>DESLOCAMENTO BASE CASCAVEL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customFormat="false" ht="60" hidden="false" customHeight="false" outlineLevel="0" collapsed="false">
      <c r="B4" s="22" t="s">
        <v>104</v>
      </c>
      <c r="C4" s="22" t="str">
        <f aca="false">"Rota (saída e retorno "&amp;Resumo!B6&amp;")"</f>
        <v>Rota (saída e retorno CASCAVEL)</v>
      </c>
      <c r="D4" s="22" t="s">
        <v>105</v>
      </c>
      <c r="E4" s="22" t="s">
        <v>106</v>
      </c>
      <c r="F4" s="22" t="s">
        <v>107</v>
      </c>
      <c r="G4" s="22" t="s">
        <v>108</v>
      </c>
      <c r="H4" s="22" t="s">
        <v>109</v>
      </c>
      <c r="I4" s="22" t="s">
        <v>110</v>
      </c>
      <c r="J4" s="22" t="s">
        <v>111</v>
      </c>
      <c r="K4" s="22" t="s">
        <v>112</v>
      </c>
      <c r="L4" s="22" t="s">
        <v>113</v>
      </c>
      <c r="M4" s="86" t="s">
        <v>151</v>
      </c>
      <c r="N4" s="22" t="s">
        <v>115</v>
      </c>
      <c r="O4" s="22" t="s">
        <v>116</v>
      </c>
      <c r="P4" s="22" t="s">
        <v>117</v>
      </c>
      <c r="Q4" s="22" t="s">
        <v>67</v>
      </c>
      <c r="R4" s="22" t="s">
        <v>118</v>
      </c>
      <c r="S4" s="22" t="s">
        <v>119</v>
      </c>
    </row>
    <row r="5" customFormat="false" ht="15.75" hidden="false" customHeight="true" outlineLevel="0" collapsed="false">
      <c r="B5" s="87" t="n">
        <v>1</v>
      </c>
      <c r="C5" s="88" t="s">
        <v>140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94" t="n">
        <v>0</v>
      </c>
      <c r="R5" s="93" t="str">
        <f aca="false">INDEX('Base Cascavel'!$K$7:$K$19,MATCH('Desl. Base Cascavel'!C5,'Base Cascavel'!$B$7:$B$19,0))</f>
        <v>NÃO</v>
      </c>
      <c r="S5" s="96" t="n">
        <v>1</v>
      </c>
    </row>
    <row r="6" customFormat="false" ht="15.75" hidden="false" customHeight="true" outlineLevel="0" collapsed="false">
      <c r="B6" s="87"/>
      <c r="C6" s="88" t="s">
        <v>141</v>
      </c>
      <c r="D6" s="89" t="n">
        <v>0.55</v>
      </c>
      <c r="E6" s="89" t="n">
        <v>0.6</v>
      </c>
      <c r="F6" s="89" t="n">
        <v>0</v>
      </c>
      <c r="G6" s="90" t="n">
        <f aca="false">SUM(D6:F7)</f>
        <v>171.95</v>
      </c>
      <c r="H6" s="89" t="n">
        <v>2</v>
      </c>
      <c r="I6" s="89" t="n">
        <v>2</v>
      </c>
      <c r="J6" s="89" t="n">
        <v>0</v>
      </c>
      <c r="K6" s="91" t="n">
        <f aca="false">SUM(H6:J7)</f>
        <v>159</v>
      </c>
      <c r="L6" s="92" t="n">
        <f aca="false">K6/60</f>
        <v>2.65</v>
      </c>
      <c r="M6" s="93" t="n">
        <v>0</v>
      </c>
      <c r="N6" s="91" t="n">
        <v>1</v>
      </c>
      <c r="O6" s="92" t="n">
        <f aca="false">L6/N6</f>
        <v>2.65</v>
      </c>
      <c r="P6" s="94" t="n">
        <v>0</v>
      </c>
      <c r="Q6" s="94" t="n">
        <v>0</v>
      </c>
      <c r="R6" s="93" t="str">
        <f aca="false">INDEX('Base Cascavel'!$K$7:$K$19,MATCH('Desl. Base Cascavel'!C6,'Base Cascavel'!$B$7:$B$19,0))</f>
        <v>SIM</v>
      </c>
      <c r="S6" s="96" t="n">
        <v>0</v>
      </c>
    </row>
    <row r="7" customFormat="false" ht="15.75" hidden="false" customHeight="true" outlineLevel="0" collapsed="false">
      <c r="B7" s="87" t="n">
        <v>2</v>
      </c>
      <c r="C7" s="88" t="s">
        <v>142</v>
      </c>
      <c r="D7" s="89" t="n">
        <v>45.4</v>
      </c>
      <c r="E7" s="89" t="n">
        <f aca="false">86.6-D7</f>
        <v>41.2</v>
      </c>
      <c r="F7" s="89" t="n">
        <v>84.2</v>
      </c>
      <c r="G7" s="97" t="n">
        <f aca="false">SUM(D7:F8)</f>
        <v>170.8</v>
      </c>
      <c r="H7" s="89" t="n">
        <v>42</v>
      </c>
      <c r="I7" s="89" t="n">
        <f aca="false">81-H7</f>
        <v>39</v>
      </c>
      <c r="J7" s="89" t="n">
        <v>74</v>
      </c>
      <c r="K7" s="91" t="n">
        <f aca="false">SUM(H7:J8)</f>
        <v>155</v>
      </c>
      <c r="L7" s="98" t="n">
        <f aca="false">K7/60</f>
        <v>2.58333333333333</v>
      </c>
      <c r="M7" s="93" t="n">
        <v>0</v>
      </c>
      <c r="N7" s="91" t="n">
        <v>2</v>
      </c>
      <c r="O7" s="92" t="n">
        <f aca="false">L7/N7</f>
        <v>1.29166666666667</v>
      </c>
      <c r="P7" s="93" t="n">
        <v>0</v>
      </c>
      <c r="Q7" s="93" t="n">
        <v>0</v>
      </c>
      <c r="R7" s="93" t="str">
        <f aca="false">INDEX('Base Cascavel'!$K$7:$K$19,MATCH('Desl. Base Cascavel'!C7,'Base Cascavel'!$B$7:$B$19,0))</f>
        <v>SIM</v>
      </c>
      <c r="S7" s="96" t="n">
        <v>1</v>
      </c>
    </row>
    <row r="8" customFormat="false" ht="15.75" hidden="false" customHeight="true" outlineLevel="0" collapsed="false">
      <c r="B8" s="87"/>
      <c r="C8" s="88" t="s">
        <v>143</v>
      </c>
      <c r="D8" s="89"/>
      <c r="E8" s="89"/>
      <c r="F8" s="89"/>
      <c r="G8" s="97"/>
      <c r="H8" s="89"/>
      <c r="I8" s="89"/>
      <c r="J8" s="89"/>
      <c r="K8" s="91"/>
      <c r="L8" s="98"/>
      <c r="M8" s="93"/>
      <c r="N8" s="91"/>
      <c r="O8" s="92" t="n">
        <f aca="false">O7</f>
        <v>1.29166666666667</v>
      </c>
      <c r="P8" s="93" t="n">
        <v>0</v>
      </c>
      <c r="Q8" s="93" t="n">
        <v>0</v>
      </c>
      <c r="R8" s="93" t="str">
        <f aca="false">INDEX('Base Cascavel'!$K$7:$K$19,MATCH('Desl. Base Cascavel'!C8,'Base Cascavel'!$B$7:$B$19,0))</f>
        <v>NÃO</v>
      </c>
      <c r="S8" s="96" t="n">
        <v>1</v>
      </c>
    </row>
    <row r="9" customFormat="false" ht="15.75" hidden="false" customHeight="true" outlineLevel="0" collapsed="false">
      <c r="B9" s="87" t="n">
        <v>3</v>
      </c>
      <c r="C9" s="88" t="s">
        <v>144</v>
      </c>
      <c r="D9" s="89" t="n">
        <v>85.1</v>
      </c>
      <c r="E9" s="89" t="n">
        <f aca="false">156-D9</f>
        <v>70.9</v>
      </c>
      <c r="F9" s="89" t="n">
        <v>121</v>
      </c>
      <c r="G9" s="97" t="n">
        <f aca="false">SUM(D9:F10)</f>
        <v>277</v>
      </c>
      <c r="H9" s="89" t="n">
        <v>69</v>
      </c>
      <c r="I9" s="89" t="n">
        <f aca="false">137-H9</f>
        <v>68</v>
      </c>
      <c r="J9" s="89" t="n">
        <v>107</v>
      </c>
      <c r="K9" s="91" t="n">
        <f aca="false">SUM(H9:J10)</f>
        <v>244</v>
      </c>
      <c r="L9" s="98" t="n">
        <f aca="false">K9/60</f>
        <v>4.06666666666667</v>
      </c>
      <c r="M9" s="93" t="n">
        <v>0</v>
      </c>
      <c r="N9" s="91" t="n">
        <v>2</v>
      </c>
      <c r="O9" s="92" t="n">
        <f aca="false">L9/N9</f>
        <v>2.03333333333333</v>
      </c>
      <c r="P9" s="93" t="n">
        <v>0</v>
      </c>
      <c r="Q9" s="93" t="n">
        <v>0</v>
      </c>
      <c r="R9" s="93" t="str">
        <f aca="false">INDEX('Base Cascavel'!$K$7:$K$19,MATCH('Desl. Base Cascavel'!C9,'Base Cascavel'!$B$7:$B$19,0))</f>
        <v>NÃO</v>
      </c>
      <c r="S9" s="96" t="n">
        <v>1</v>
      </c>
    </row>
    <row r="10" customFormat="false" ht="15.75" hidden="false" customHeight="true" outlineLevel="0" collapsed="false">
      <c r="B10" s="87"/>
      <c r="C10" s="88" t="s">
        <v>139</v>
      </c>
      <c r="D10" s="89"/>
      <c r="E10" s="89"/>
      <c r="F10" s="89"/>
      <c r="G10" s="97"/>
      <c r="H10" s="89"/>
      <c r="I10" s="89"/>
      <c r="J10" s="89"/>
      <c r="K10" s="91"/>
      <c r="L10" s="98"/>
      <c r="M10" s="93" t="n">
        <v>0</v>
      </c>
      <c r="N10" s="91"/>
      <c r="O10" s="92" t="n">
        <f aca="false">O9</f>
        <v>2.03333333333333</v>
      </c>
      <c r="P10" s="93" t="n">
        <v>0</v>
      </c>
      <c r="Q10" s="93" t="n">
        <v>0</v>
      </c>
      <c r="R10" s="93" t="str">
        <f aca="false">INDEX('Base Cascavel'!$K$7:$K$19,MATCH('Desl. Base Cascavel'!C10,'Base Cascavel'!$B$7:$B$19,0))</f>
        <v>SIM</v>
      </c>
      <c r="S10" s="96" t="n">
        <v>1</v>
      </c>
    </row>
    <row r="11" customFormat="false" ht="15.75" hidden="false" customHeight="true" outlineLevel="0" collapsed="false">
      <c r="B11" s="87" t="n">
        <v>4</v>
      </c>
      <c r="C11" s="88" t="s">
        <v>145</v>
      </c>
      <c r="D11" s="89" t="n">
        <v>98.2</v>
      </c>
      <c r="E11" s="89" t="n">
        <f aca="false">165-D11</f>
        <v>66.8</v>
      </c>
      <c r="F11" s="89" t="n">
        <v>148</v>
      </c>
      <c r="G11" s="97" t="n">
        <f aca="false">SUM(D11:F12)</f>
        <v>313</v>
      </c>
      <c r="H11" s="89" t="n">
        <v>77</v>
      </c>
      <c r="I11" s="89" t="n">
        <f aca="false">145-H11</f>
        <v>68</v>
      </c>
      <c r="J11" s="89" t="n">
        <v>122</v>
      </c>
      <c r="K11" s="91" t="n">
        <f aca="false">SUM(H11:J12)</f>
        <v>267</v>
      </c>
      <c r="L11" s="98" t="n">
        <f aca="false">K11/60</f>
        <v>4.45</v>
      </c>
      <c r="M11" s="93" t="n">
        <v>0</v>
      </c>
      <c r="N11" s="91" t="n">
        <v>2</v>
      </c>
      <c r="O11" s="92" t="n">
        <f aca="false">L11/N11</f>
        <v>2.225</v>
      </c>
      <c r="P11" s="93" t="n">
        <v>0</v>
      </c>
      <c r="Q11" s="93" t="n">
        <v>0</v>
      </c>
      <c r="R11" s="93" t="str">
        <f aca="false">INDEX('Base Cascavel'!$K$7:$K$19,MATCH('Desl. Base Cascavel'!C11,'Base Cascavel'!$B$7:$B$19,0))</f>
        <v>NÃO</v>
      </c>
      <c r="S11" s="96" t="n">
        <v>0</v>
      </c>
    </row>
    <row r="12" customFormat="false" ht="15.75" hidden="false" customHeight="true" outlineLevel="0" collapsed="false">
      <c r="B12" s="87"/>
      <c r="C12" s="88" t="s">
        <v>146</v>
      </c>
      <c r="D12" s="89"/>
      <c r="E12" s="89"/>
      <c r="F12" s="89"/>
      <c r="G12" s="97"/>
      <c r="H12" s="89"/>
      <c r="I12" s="89"/>
      <c r="J12" s="89"/>
      <c r="K12" s="91"/>
      <c r="L12" s="98"/>
      <c r="M12" s="93"/>
      <c r="N12" s="91"/>
      <c r="O12" s="92" t="n">
        <f aca="false">O11</f>
        <v>2.225</v>
      </c>
      <c r="P12" s="93" t="n">
        <v>0</v>
      </c>
      <c r="Q12" s="93" t="n">
        <v>0</v>
      </c>
      <c r="R12" s="93" t="str">
        <f aca="false">INDEX('Base Cascavel'!$K$7:$K$19,MATCH('Desl. Base Cascavel'!C12,'Base Cascavel'!$B$7:$B$19,0))</f>
        <v>NÃO</v>
      </c>
      <c r="S12" s="96" t="n">
        <v>0</v>
      </c>
    </row>
    <row r="13" customFormat="false" ht="15.75" hidden="false" customHeight="true" outlineLevel="0" collapsed="false">
      <c r="B13" s="87" t="n">
        <v>5</v>
      </c>
      <c r="C13" s="88" t="s">
        <v>147</v>
      </c>
      <c r="D13" s="89" t="n">
        <v>82.4</v>
      </c>
      <c r="E13" s="89" t="n">
        <f aca="false">100-D13</f>
        <v>17.6</v>
      </c>
      <c r="F13" s="89" t="n">
        <v>99.5</v>
      </c>
      <c r="G13" s="97" t="n">
        <f aca="false">SUM(D13:F14)</f>
        <v>199.5</v>
      </c>
      <c r="H13" s="89" t="n">
        <v>73</v>
      </c>
      <c r="I13" s="89" t="n">
        <f aca="false">90-H13</f>
        <v>17</v>
      </c>
      <c r="J13" s="89" t="n">
        <v>89</v>
      </c>
      <c r="K13" s="91" t="n">
        <f aca="false">SUM(H13:J14)</f>
        <v>179</v>
      </c>
      <c r="L13" s="98" t="n">
        <f aca="false">K13/60</f>
        <v>2.98333333333333</v>
      </c>
      <c r="M13" s="93" t="n">
        <v>0</v>
      </c>
      <c r="N13" s="91" t="n">
        <v>2</v>
      </c>
      <c r="O13" s="92" t="n">
        <f aca="false">L13/N13</f>
        <v>1.49166666666667</v>
      </c>
      <c r="P13" s="93" t="n">
        <v>0</v>
      </c>
      <c r="Q13" s="93" t="n">
        <v>0</v>
      </c>
      <c r="R13" s="93" t="str">
        <f aca="false">INDEX('Base Cascavel'!$K$7:$K$19,MATCH('Desl. Base Cascavel'!C13,'Base Cascavel'!$B$7:$B$19,0))</f>
        <v>NÃO</v>
      </c>
      <c r="S13" s="96" t="n">
        <v>0</v>
      </c>
    </row>
    <row r="14" customFormat="false" ht="15.75" hidden="false" customHeight="true" outlineLevel="0" collapsed="false">
      <c r="B14" s="87"/>
      <c r="C14" s="88" t="s">
        <v>148</v>
      </c>
      <c r="D14" s="89"/>
      <c r="E14" s="89"/>
      <c r="F14" s="89"/>
      <c r="G14" s="97"/>
      <c r="H14" s="89"/>
      <c r="I14" s="89"/>
      <c r="J14" s="89"/>
      <c r="K14" s="91"/>
      <c r="L14" s="98"/>
      <c r="M14" s="93"/>
      <c r="N14" s="91"/>
      <c r="O14" s="92" t="n">
        <f aca="false">O13</f>
        <v>1.49166666666667</v>
      </c>
      <c r="P14" s="93" t="n">
        <v>0</v>
      </c>
      <c r="Q14" s="93" t="n">
        <v>0</v>
      </c>
      <c r="R14" s="93" t="str">
        <f aca="false">INDEX('Base Cascavel'!$K$7:$K$19,MATCH('Desl. Base Cascavel'!C14,'Base Cascavel'!$B$7:$B$19,0))</f>
        <v>NÃO</v>
      </c>
      <c r="S14" s="96" t="n">
        <v>0</v>
      </c>
    </row>
    <row r="15" customFormat="false" ht="15.75" hidden="false" customHeight="true" outlineLevel="0" collapsed="false">
      <c r="B15" s="87" t="n">
        <v>6</v>
      </c>
      <c r="C15" s="88" t="s">
        <v>149</v>
      </c>
      <c r="D15" s="89" t="n">
        <v>139</v>
      </c>
      <c r="E15" s="89" t="n">
        <v>140</v>
      </c>
      <c r="F15" s="89" t="n">
        <v>0</v>
      </c>
      <c r="G15" s="97" t="n">
        <f aca="false">SUM(D15:F15)</f>
        <v>279</v>
      </c>
      <c r="H15" s="89" t="n">
        <v>114</v>
      </c>
      <c r="I15" s="89" t="n">
        <v>121</v>
      </c>
      <c r="J15" s="89" t="n">
        <v>0</v>
      </c>
      <c r="K15" s="91" t="n">
        <f aca="false">SUM(H15:J15)</f>
        <v>235</v>
      </c>
      <c r="L15" s="92" t="n">
        <f aca="false">K15/60</f>
        <v>3.91666666666667</v>
      </c>
      <c r="M15" s="93" t="n">
        <v>0</v>
      </c>
      <c r="N15" s="91" t="n">
        <v>1</v>
      </c>
      <c r="O15" s="92" t="n">
        <f aca="false">L15/N15</f>
        <v>3.91666666666667</v>
      </c>
      <c r="P15" s="93" t="n">
        <v>0</v>
      </c>
      <c r="Q15" s="93" t="n">
        <v>0</v>
      </c>
      <c r="R15" s="93" t="str">
        <f aca="false">INDEX('Base Cascavel'!$K$7:$K$19,MATCH('Desl. Base Cascavel'!C15,'Base Cascavel'!$B$7:$B$19,0))</f>
        <v>SIM</v>
      </c>
      <c r="S15" s="96" t="n">
        <v>1</v>
      </c>
    </row>
    <row r="16" customFormat="false" ht="15.75" hidden="false" customHeight="true" outlineLevel="0" collapsed="false">
      <c r="B16" s="87" t="n">
        <v>7</v>
      </c>
      <c r="C16" s="88" t="s">
        <v>150</v>
      </c>
      <c r="D16" s="89" t="n">
        <v>126</v>
      </c>
      <c r="E16" s="89" t="n">
        <v>127</v>
      </c>
      <c r="F16" s="89" t="n">
        <v>0</v>
      </c>
      <c r="G16" s="97" t="n">
        <f aca="false">SUM(D16:F16)</f>
        <v>253</v>
      </c>
      <c r="H16" s="144" t="n">
        <v>104</v>
      </c>
      <c r="I16" s="144" t="n">
        <v>107</v>
      </c>
      <c r="J16" s="144" t="n">
        <v>0</v>
      </c>
      <c r="K16" s="91" t="n">
        <f aca="false">SUM(H16:J16)</f>
        <v>211</v>
      </c>
      <c r="L16" s="145" t="n">
        <f aca="false">K16/60</f>
        <v>3.51666666666667</v>
      </c>
      <c r="M16" s="93" t="n">
        <v>0</v>
      </c>
      <c r="N16" s="91" t="n">
        <v>1</v>
      </c>
      <c r="O16" s="145" t="n">
        <f aca="false">L16/N16</f>
        <v>3.51666666666667</v>
      </c>
      <c r="P16" s="93" t="n">
        <v>0</v>
      </c>
      <c r="Q16" s="93" t="n">
        <v>0</v>
      </c>
      <c r="R16" s="93" t="str">
        <f aca="false">INDEX('Base Cascavel'!$K$7:$K$19,MATCH('Desl. Base Cascavel'!C16,'Base Cascavel'!$B$7:$B$19,0))</f>
        <v>NÃO</v>
      </c>
      <c r="S16" s="96" t="n">
        <v>0</v>
      </c>
    </row>
    <row r="17" customFormat="false" ht="21" hidden="false" customHeight="true" outlineLevel="0" collapsed="false">
      <c r="B17" s="99" t="s">
        <v>100</v>
      </c>
      <c r="C17" s="99"/>
      <c r="D17" s="99"/>
      <c r="E17" s="99"/>
      <c r="F17" s="99"/>
      <c r="G17" s="101" t="n">
        <f aca="false">SUM(G5:G16)</f>
        <v>1664.25</v>
      </c>
      <c r="H17" s="101" t="s">
        <v>100</v>
      </c>
      <c r="I17" s="101"/>
      <c r="J17" s="101"/>
      <c r="K17" s="102" t="n">
        <f aca="false">SUM(K5:K16)</f>
        <v>1450</v>
      </c>
      <c r="L17" s="101" t="n">
        <f aca="false">SUM(L5:L16)</f>
        <v>24.1666666666667</v>
      </c>
      <c r="M17" s="104" t="n">
        <f aca="false">SUM(M5:M16)</f>
        <v>0</v>
      </c>
      <c r="N17" s="102" t="n">
        <f aca="false">SUM(N5:N16)</f>
        <v>12</v>
      </c>
      <c r="O17" s="101"/>
      <c r="P17" s="104"/>
      <c r="Q17" s="104" t="n">
        <v>0</v>
      </c>
    </row>
    <row r="18" customFormat="false" ht="15.75" hidden="false" customHeight="true" outlineLevel="0" collapsed="false">
      <c r="B18" s="106"/>
      <c r="C18" s="106"/>
      <c r="D18" s="106"/>
      <c r="E18" s="106"/>
      <c r="F18" s="83"/>
      <c r="G18" s="83"/>
      <c r="H18" s="83"/>
      <c r="I18" s="83"/>
      <c r="J18" s="83"/>
      <c r="K18" s="83"/>
      <c r="L18" s="83"/>
      <c r="M18" s="83"/>
      <c r="N18" s="83"/>
    </row>
    <row r="19" customFormat="false" ht="18.75" hidden="false" customHeight="true" outlineLevel="0" collapsed="false">
      <c r="B19" s="107" t="s">
        <v>120</v>
      </c>
      <c r="C19" s="107"/>
      <c r="D19" s="107"/>
      <c r="E19" s="107"/>
      <c r="F19" s="106"/>
      <c r="G19" s="106"/>
      <c r="H19" s="106"/>
      <c r="I19" s="106"/>
      <c r="J19" s="106"/>
      <c r="K19" s="106"/>
      <c r="L19" s="106"/>
      <c r="M19" s="106"/>
      <c r="N19" s="106"/>
    </row>
    <row r="20" customFormat="false" ht="18.75" hidden="false" customHeight="true" outlineLevel="0" collapsed="false">
      <c r="B20" s="129" t="s">
        <v>121</v>
      </c>
      <c r="C20" s="129" t="s">
        <v>122</v>
      </c>
      <c r="D20" s="129" t="s">
        <v>123</v>
      </c>
      <c r="E20" s="129" t="s">
        <v>124</v>
      </c>
      <c r="F20" s="106"/>
      <c r="G20" s="108"/>
      <c r="H20" s="108"/>
      <c r="I20" s="106"/>
      <c r="J20" s="106"/>
      <c r="K20" s="106"/>
      <c r="L20" s="106"/>
      <c r="M20" s="106"/>
      <c r="N20" s="106"/>
    </row>
    <row r="21" customFormat="false" ht="18.75" hidden="false" customHeight="true" outlineLevel="0" collapsed="false">
      <c r="B21" s="48" t="s">
        <v>125</v>
      </c>
      <c r="C21" s="110" t="s">
        <v>126</v>
      </c>
      <c r="D21" s="48" t="s">
        <v>127</v>
      </c>
      <c r="E21" s="111" t="n">
        <f aca="false">'Desl. Base Maringá'!E22</f>
        <v>52.69</v>
      </c>
      <c r="F21" s="106"/>
      <c r="G21" s="112"/>
      <c r="H21" s="112"/>
      <c r="I21" s="106"/>
      <c r="J21" s="106"/>
      <c r="K21" s="146"/>
      <c r="L21" s="146"/>
    </row>
    <row r="22" customFormat="false" ht="18.75" hidden="false" customHeight="true" outlineLevel="0" collapsed="false">
      <c r="B22" s="113" t="s">
        <v>128</v>
      </c>
      <c r="C22" s="114" t="s">
        <v>126</v>
      </c>
      <c r="D22" s="113" t="s">
        <v>129</v>
      </c>
      <c r="E22" s="115" t="n">
        <f aca="false">'Desl. Base Maringá'!E23</f>
        <v>6.95</v>
      </c>
      <c r="F22" s="106"/>
      <c r="G22" s="112"/>
      <c r="H22" s="112"/>
      <c r="I22" s="106"/>
      <c r="J22" s="106"/>
      <c r="K22" s="146"/>
      <c r="L22" s="146"/>
    </row>
    <row r="23" customFormat="false" ht="47.25" hidden="false" customHeight="true" outlineLevel="0" collapsed="false">
      <c r="B23" s="116" t="s">
        <v>130</v>
      </c>
      <c r="C23" s="116"/>
      <c r="D23" s="116"/>
      <c r="E23" s="116"/>
      <c r="F23" s="117"/>
      <c r="G23" s="117"/>
      <c r="H23" s="117"/>
      <c r="I23" s="117"/>
      <c r="J23" s="117"/>
      <c r="K23" s="117"/>
      <c r="L23" s="146"/>
    </row>
    <row r="24" customFormat="false" ht="18.75" hidden="false" customHeight="true" outlineLevel="0" collapsed="false">
      <c r="B24" s="118"/>
      <c r="C24" s="118"/>
      <c r="D24" s="118"/>
      <c r="E24" s="118"/>
      <c r="F24" s="117"/>
      <c r="G24" s="117"/>
      <c r="H24" s="117"/>
      <c r="I24" s="117"/>
      <c r="J24" s="117"/>
      <c r="K24" s="117"/>
      <c r="L24" s="146"/>
    </row>
    <row r="25" customFormat="false" ht="15.75" hidden="false" customHeight="true" outlineLevel="0" collapsed="false">
      <c r="B25" s="107" t="s">
        <v>131</v>
      </c>
      <c r="C25" s="107"/>
      <c r="D25" s="106"/>
      <c r="E25" s="106"/>
      <c r="F25" s="106"/>
      <c r="G25" s="106"/>
      <c r="H25" s="106"/>
      <c r="I25" s="106"/>
      <c r="J25" s="106"/>
      <c r="K25" s="106"/>
      <c r="L25" s="106"/>
    </row>
    <row r="26" customFormat="false" ht="15.75" hidden="false" customHeight="true" outlineLevel="0" collapsed="false">
      <c r="B26" s="147" t="s">
        <v>127</v>
      </c>
      <c r="C26" s="148" t="n">
        <f aca="false">E21*L17</f>
        <v>1273.34166666667</v>
      </c>
      <c r="D26" s="106"/>
      <c r="E26" s="106"/>
      <c r="F26" s="106"/>
      <c r="G26" s="106"/>
      <c r="H26" s="106"/>
      <c r="I26" s="106"/>
      <c r="J26" s="106"/>
    </row>
    <row r="27" customFormat="false" ht="15.75" hidden="false" customHeight="true" outlineLevel="0" collapsed="false">
      <c r="B27" s="48" t="s">
        <v>129</v>
      </c>
      <c r="C27" s="111" t="n">
        <f aca="false">E22*('Base Cascavel'!N19/12)</f>
        <v>282.749166666667</v>
      </c>
      <c r="D27" s="106"/>
      <c r="E27" s="106"/>
      <c r="F27" s="106"/>
      <c r="G27" s="106"/>
      <c r="H27" s="106"/>
      <c r="I27" s="106"/>
      <c r="J27" s="106"/>
    </row>
    <row r="28" customFormat="false" ht="15.75" hidden="false" customHeight="true" outlineLevel="0" collapsed="false">
      <c r="B28" s="119" t="s">
        <v>28</v>
      </c>
      <c r="C28" s="120" t="n">
        <f aca="false">C26+C27</f>
        <v>1556.09083333333</v>
      </c>
      <c r="D28" s="106"/>
      <c r="E28" s="106"/>
      <c r="F28" s="106"/>
      <c r="G28" s="106"/>
      <c r="H28" s="106"/>
      <c r="I28" s="83"/>
      <c r="J28" s="83"/>
    </row>
    <row r="29" customFormat="false" ht="15.75" hidden="false" customHeight="true" outlineLevel="0" collapsed="false">
      <c r="B29" s="149"/>
      <c r="C29" s="149"/>
      <c r="D29" s="106"/>
      <c r="H29" s="83"/>
      <c r="I29" s="83"/>
    </row>
    <row r="30" customFormat="false" ht="15.75" hidden="false" customHeight="true" outlineLevel="0" collapsed="false">
      <c r="B30" s="122" t="s">
        <v>132</v>
      </c>
      <c r="C30" s="122"/>
      <c r="D30" s="106"/>
      <c r="H30" s="83"/>
      <c r="I30" s="83"/>
    </row>
    <row r="31" customFormat="false" ht="15.75" hidden="false" customHeight="true" outlineLevel="0" collapsed="false">
      <c r="B31" s="129" t="s">
        <v>124</v>
      </c>
      <c r="C31" s="124" t="n">
        <f aca="false">SUM(M5:M16)</f>
        <v>0</v>
      </c>
      <c r="I31" s="106"/>
    </row>
    <row r="32" customFormat="false" ht="13.5" hidden="false" customHeight="false" outlineLevel="0" collapsed="false">
      <c r="B32" s="83"/>
      <c r="C32" s="83"/>
      <c r="D32" s="83"/>
    </row>
    <row r="33" customFormat="false" ht="13.5" hidden="false" customHeight="false" outlineLevel="0" collapsed="false">
      <c r="B33" s="126" t="s">
        <v>133</v>
      </c>
      <c r="C33" s="127"/>
      <c r="D33" s="83"/>
    </row>
    <row r="34" customFormat="false" ht="13.5" hidden="false" customHeight="false" outlineLevel="0" collapsed="false">
      <c r="B34" s="112"/>
      <c r="C34" s="106"/>
      <c r="D34" s="106"/>
    </row>
    <row r="35" customFormat="false" ht="13.5" hidden="false" customHeight="false" outlineLevel="0" collapsed="false">
      <c r="B35" s="112"/>
      <c r="C35" s="106"/>
      <c r="D35" s="106"/>
    </row>
    <row r="36" customFormat="false" ht="13.5" hidden="false" customHeight="false" outlineLevel="0" collapsed="false">
      <c r="B36" s="128" t="s">
        <v>67</v>
      </c>
      <c r="C36" s="128"/>
      <c r="D36" s="128"/>
      <c r="E36" s="128"/>
      <c r="F36" s="83"/>
      <c r="G36" s="83"/>
      <c r="H36" s="83"/>
      <c r="I36" s="83"/>
      <c r="J36" s="83"/>
      <c r="K36" s="83"/>
      <c r="L36" s="83"/>
      <c r="M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IX36" s="83"/>
      <c r="IY36" s="83"/>
      <c r="IZ36" s="83"/>
    </row>
    <row r="37" customFormat="false" ht="13.5" hidden="false" customHeight="false" outlineLevel="0" collapsed="false">
      <c r="B37" s="129" t="s">
        <v>134</v>
      </c>
      <c r="C37" s="129" t="s">
        <v>122</v>
      </c>
      <c r="D37" s="129" t="s">
        <v>123</v>
      </c>
      <c r="E37" s="129" t="s">
        <v>124</v>
      </c>
      <c r="F37" s="83"/>
      <c r="G37" s="83"/>
      <c r="H37" s="83"/>
      <c r="I37" s="83"/>
      <c r="J37" s="83"/>
      <c r="K37" s="83"/>
      <c r="L37" s="83"/>
      <c r="M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IX37" s="83"/>
      <c r="IY37" s="83"/>
      <c r="IZ37" s="83"/>
    </row>
    <row r="38" customFormat="false" ht="26.25" hidden="false" customHeight="false" outlineLevel="0" collapsed="false">
      <c r="B38" s="113" t="s">
        <v>135</v>
      </c>
      <c r="C38" s="130" t="s">
        <v>136</v>
      </c>
      <c r="D38" s="113" t="s">
        <v>137</v>
      </c>
      <c r="E38" s="115" t="n">
        <v>132.74</v>
      </c>
      <c r="F38" s="83"/>
      <c r="G38" s="83"/>
      <c r="H38" s="83"/>
      <c r="I38" s="83"/>
      <c r="J38" s="83"/>
      <c r="K38" s="83"/>
      <c r="L38" s="83"/>
      <c r="M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IX38" s="83"/>
      <c r="IY38" s="83"/>
      <c r="IZ38" s="83"/>
    </row>
    <row r="39" customFormat="false" ht="13.5" hidden="false" customHeight="false" outlineLevel="0" collapsed="false">
      <c r="B39" s="131" t="s">
        <v>138</v>
      </c>
      <c r="C39" s="131"/>
      <c r="D39" s="131"/>
      <c r="E39" s="131"/>
      <c r="F39" s="83"/>
      <c r="G39" s="83"/>
      <c r="H39" s="83"/>
      <c r="I39" s="83"/>
      <c r="J39" s="83"/>
      <c r="K39" s="83"/>
      <c r="L39" s="83"/>
      <c r="M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IX39" s="83"/>
      <c r="IY39" s="83"/>
      <c r="IZ39" s="83"/>
    </row>
    <row r="40" customFormat="false" ht="13.5" hidden="false" customHeight="false" outlineLevel="0" collapsed="false">
      <c r="B40" s="83"/>
      <c r="C40" s="83"/>
      <c r="D40" s="83"/>
    </row>
    <row r="41" customFormat="false" ht="13.5" hidden="false" customHeight="false" outlineLevel="0" collapsed="false">
      <c r="B41" s="150"/>
      <c r="C41" s="83"/>
      <c r="D41" s="83"/>
    </row>
    <row r="42" customFormat="false" ht="13.5" hidden="false" customHeight="false" outlineLevel="0" collapsed="false">
      <c r="B42" s="112"/>
      <c r="C42" s="106"/>
      <c r="D42" s="106"/>
    </row>
    <row r="43" customFormat="false" ht="13.5" hidden="false" customHeight="false" outlineLevel="0" collapsed="false">
      <c r="B43" s="149"/>
      <c r="C43" s="106"/>
      <c r="D43" s="106"/>
    </row>
    <row r="44" customFormat="false" ht="13.5" hidden="false" customHeight="false" outlineLevel="0" collapsed="false">
      <c r="B44" s="106"/>
      <c r="C44" s="106"/>
      <c r="D44" s="112"/>
    </row>
    <row r="45" customFormat="false" ht="13.5" hidden="false" customHeight="false" outlineLevel="0" collapsed="false">
      <c r="B45" s="106"/>
      <c r="C45" s="106"/>
      <c r="D45" s="112"/>
    </row>
    <row r="46" customFormat="false" ht="13.5" hidden="false" customHeight="false" outlineLevel="0" collapsed="false">
      <c r="B46" s="149"/>
      <c r="C46" s="106"/>
      <c r="D46" s="151"/>
    </row>
    <row r="47" customFormat="false" ht="13.5" hidden="false" customHeight="false" outlineLevel="0" collapsed="false">
      <c r="B47" s="83"/>
      <c r="C47" s="83"/>
      <c r="D47" s="83"/>
    </row>
    <row r="48" customFormat="false" ht="13.5" hidden="false" customHeight="false" outlineLevel="0" collapsed="false">
      <c r="B48" s="150"/>
      <c r="C48" s="83"/>
      <c r="D48" s="83"/>
    </row>
    <row r="49" customFormat="false" ht="13.5" hidden="false" customHeight="false" outlineLevel="0" collapsed="false">
      <c r="B49" s="112"/>
      <c r="C49" s="106"/>
      <c r="D49" s="106"/>
    </row>
    <row r="50" customFormat="false" ht="13.5" hidden="false" customHeight="false" outlineLevel="0" collapsed="false">
      <c r="B50" s="149"/>
      <c r="C50" s="106"/>
      <c r="D50" s="106"/>
    </row>
    <row r="51" customFormat="false" ht="13.5" hidden="false" customHeight="false" outlineLevel="0" collapsed="false">
      <c r="B51" s="106"/>
      <c r="C51" s="106"/>
      <c r="D51" s="112"/>
    </row>
    <row r="52" customFormat="false" ht="13.5" hidden="false" customHeight="false" outlineLevel="0" collapsed="false">
      <c r="B52" s="106"/>
      <c r="C52" s="106"/>
      <c r="D52" s="112"/>
    </row>
    <row r="53" customFormat="false" ht="13.5" hidden="false" customHeight="false" outlineLevel="0" collapsed="false">
      <c r="B53" s="106"/>
      <c r="C53" s="106"/>
      <c r="D53" s="112"/>
    </row>
    <row r="54" customFormat="false" ht="13.5" hidden="false" customHeight="false" outlineLevel="0" collapsed="false">
      <c r="B54" s="149"/>
      <c r="C54" s="106"/>
      <c r="D54" s="151"/>
    </row>
  </sheetData>
  <mergeCells count="58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7:F17"/>
    <mergeCell ref="H17:J17"/>
    <mergeCell ref="B19:E19"/>
    <mergeCell ref="B23:E23"/>
    <mergeCell ref="B25:C25"/>
    <mergeCell ref="B30:C30"/>
    <mergeCell ref="B36:E36"/>
    <mergeCell ref="B39:E39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"/>
    <col collapsed="false" customWidth="true" hidden="false" outlineLevel="0" max="5" min="5" style="0" width="30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152</v>
      </c>
      <c r="C2" s="152"/>
      <c r="D2" s="152"/>
      <c r="E2" s="152"/>
      <c r="F2" s="152"/>
      <c r="G2" s="152"/>
      <c r="H2" s="152"/>
      <c r="I2" s="152"/>
    </row>
    <row r="3" customFormat="false" ht="21" hidden="false" customHeight="true" outlineLevel="0" collapsed="false"/>
    <row r="4" customFormat="false" ht="16.5" hidden="false" customHeight="true" outlineLevel="0" collapsed="false">
      <c r="B4" s="153" t="s">
        <v>153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154</v>
      </c>
      <c r="C5" s="154"/>
      <c r="D5" s="155" t="s">
        <v>155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156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157</v>
      </c>
      <c r="C7" s="154"/>
      <c r="D7" s="156" t="s">
        <v>158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159</v>
      </c>
      <c r="C8" s="154"/>
      <c r="D8" s="155" t="s">
        <v>160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161</v>
      </c>
      <c r="C9" s="154"/>
      <c r="D9" s="155" t="s">
        <v>162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127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163</v>
      </c>
      <c r="C11" s="157"/>
      <c r="D11" s="158" t="n">
        <f aca="false">SUM(I14:I18)</f>
        <v>52.69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29.25" hidden="false" customHeight="true" outlineLevel="0" collapsed="false">
      <c r="B13" s="161"/>
      <c r="C13" s="161" t="s">
        <v>164</v>
      </c>
      <c r="D13" s="161" t="s">
        <v>122</v>
      </c>
      <c r="E13" s="161" t="s">
        <v>161</v>
      </c>
      <c r="F13" s="161" t="s">
        <v>123</v>
      </c>
      <c r="G13" s="161" t="s">
        <v>163</v>
      </c>
      <c r="H13" s="161" t="s">
        <v>165</v>
      </c>
      <c r="I13" s="161" t="s">
        <v>163</v>
      </c>
    </row>
    <row r="14" customFormat="false" ht="27.75" hidden="false" customHeight="true" outlineLevel="0" collapsed="false">
      <c r="B14" s="162" t="s">
        <v>166</v>
      </c>
      <c r="C14" s="162" t="s">
        <v>167</v>
      </c>
      <c r="D14" s="163" t="s">
        <v>168</v>
      </c>
      <c r="E14" s="163" t="s">
        <v>162</v>
      </c>
      <c r="F14" s="162" t="s">
        <v>169</v>
      </c>
      <c r="G14" s="164" t="n">
        <v>4.86</v>
      </c>
      <c r="H14" s="164" t="s">
        <v>170</v>
      </c>
      <c r="I14" s="164" t="n">
        <f aca="false">G14*H14</f>
        <v>4.86</v>
      </c>
    </row>
    <row r="15" customFormat="false" ht="27.75" hidden="false" customHeight="true" outlineLevel="0" collapsed="false">
      <c r="B15" s="162" t="s">
        <v>166</v>
      </c>
      <c r="C15" s="162" t="s">
        <v>171</v>
      </c>
      <c r="D15" s="163" t="s">
        <v>172</v>
      </c>
      <c r="E15" s="163" t="s">
        <v>162</v>
      </c>
      <c r="F15" s="162" t="s">
        <v>169</v>
      </c>
      <c r="G15" s="164" t="n">
        <v>1.49</v>
      </c>
      <c r="H15" s="164" t="s">
        <v>170</v>
      </c>
      <c r="I15" s="164" t="n">
        <f aca="false">G15*H15</f>
        <v>1.49</v>
      </c>
    </row>
    <row r="16" customFormat="false" ht="42" hidden="false" customHeight="true" outlineLevel="0" collapsed="false">
      <c r="B16" s="162" t="s">
        <v>166</v>
      </c>
      <c r="C16" s="162" t="s">
        <v>173</v>
      </c>
      <c r="D16" s="163" t="s">
        <v>174</v>
      </c>
      <c r="E16" s="163" t="s">
        <v>162</v>
      </c>
      <c r="F16" s="162" t="s">
        <v>169</v>
      </c>
      <c r="G16" s="164" t="n">
        <v>0.6</v>
      </c>
      <c r="H16" s="164" t="s">
        <v>170</v>
      </c>
      <c r="I16" s="164" t="n">
        <f aca="false">G16*H16</f>
        <v>0.6</v>
      </c>
    </row>
    <row r="17" customFormat="false" ht="27.75" hidden="false" customHeight="true" outlineLevel="0" collapsed="false">
      <c r="B17" s="162" t="s">
        <v>166</v>
      </c>
      <c r="C17" s="162" t="s">
        <v>175</v>
      </c>
      <c r="D17" s="163" t="s">
        <v>176</v>
      </c>
      <c r="E17" s="163" t="s">
        <v>162</v>
      </c>
      <c r="F17" s="162" t="s">
        <v>169</v>
      </c>
      <c r="G17" s="164" t="n">
        <v>6.07</v>
      </c>
      <c r="H17" s="164" t="s">
        <v>170</v>
      </c>
      <c r="I17" s="164" t="n">
        <f aca="false">G17*H17</f>
        <v>6.07</v>
      </c>
    </row>
    <row r="18" customFormat="false" ht="42" hidden="false" customHeight="true" outlineLevel="0" collapsed="false">
      <c r="B18" s="162" t="s">
        <v>166</v>
      </c>
      <c r="C18" s="162" t="s">
        <v>177</v>
      </c>
      <c r="D18" s="163" t="s">
        <v>178</v>
      </c>
      <c r="E18" s="163" t="s">
        <v>162</v>
      </c>
      <c r="F18" s="162" t="s">
        <v>169</v>
      </c>
      <c r="G18" s="164" t="n">
        <v>39.67</v>
      </c>
      <c r="H18" s="164" t="s">
        <v>170</v>
      </c>
      <c r="I18" s="164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2" t="s">
        <v>179</v>
      </c>
      <c r="C20" s="152"/>
      <c r="D20" s="152"/>
      <c r="E20" s="152"/>
      <c r="F20" s="152"/>
      <c r="G20" s="152"/>
      <c r="H20" s="152"/>
      <c r="I20" s="152"/>
    </row>
    <row r="21" customFormat="false" ht="16.5" hidden="false" customHeight="true" outlineLevel="0" collapsed="false">
      <c r="B21" s="157" t="s">
        <v>154</v>
      </c>
      <c r="C21" s="157"/>
      <c r="D21" s="165" t="s">
        <v>180</v>
      </c>
      <c r="E21" s="165"/>
      <c r="F21" s="165"/>
      <c r="G21" s="165"/>
      <c r="H21" s="165"/>
      <c r="I21" s="165"/>
    </row>
    <row r="22" customFormat="false" ht="16.5" hidden="false" customHeight="true" outlineLevel="0" collapsed="false">
      <c r="B22" s="157" t="s">
        <v>122</v>
      </c>
      <c r="C22" s="157"/>
      <c r="D22" s="165" t="s">
        <v>181</v>
      </c>
      <c r="E22" s="165"/>
      <c r="F22" s="165"/>
      <c r="G22" s="165"/>
      <c r="H22" s="165"/>
      <c r="I22" s="165"/>
    </row>
    <row r="23" customFormat="false" ht="16.5" hidden="false" customHeight="true" outlineLevel="0" collapsed="false">
      <c r="B23" s="157" t="s">
        <v>157</v>
      </c>
      <c r="C23" s="157"/>
      <c r="D23" s="166" t="str">
        <f aca="false">D7</f>
        <v>10/2023</v>
      </c>
      <c r="E23" s="166"/>
      <c r="F23" s="166"/>
      <c r="G23" s="166"/>
      <c r="H23" s="166"/>
      <c r="I23" s="166"/>
    </row>
    <row r="24" customFormat="false" ht="16.5" hidden="false" customHeight="true" outlineLevel="0" collapsed="false">
      <c r="B24" s="157" t="s">
        <v>159</v>
      </c>
      <c r="C24" s="157"/>
      <c r="D24" s="165" t="str">
        <f aca="false">D8</f>
        <v>Paraná</v>
      </c>
      <c r="E24" s="165"/>
      <c r="F24" s="165"/>
      <c r="G24" s="165"/>
      <c r="H24" s="165"/>
      <c r="I24" s="165"/>
    </row>
    <row r="25" customFormat="false" ht="16.5" hidden="false" customHeight="true" outlineLevel="0" collapsed="false">
      <c r="B25" s="157" t="s">
        <v>161</v>
      </c>
      <c r="C25" s="157"/>
      <c r="D25" s="165" t="s">
        <v>162</v>
      </c>
      <c r="E25" s="165"/>
      <c r="F25" s="165"/>
      <c r="G25" s="165"/>
      <c r="H25" s="165"/>
      <c r="I25" s="165"/>
    </row>
    <row r="26" customFormat="false" ht="16.5" hidden="false" customHeight="true" outlineLevel="0" collapsed="false">
      <c r="B26" s="157" t="s">
        <v>123</v>
      </c>
      <c r="C26" s="157"/>
      <c r="D26" s="165" t="s">
        <v>129</v>
      </c>
      <c r="E26" s="165"/>
      <c r="F26" s="165"/>
      <c r="G26" s="165"/>
      <c r="H26" s="165"/>
      <c r="I26" s="165"/>
    </row>
    <row r="27" customFormat="false" ht="23.25" hidden="false" customHeight="true" outlineLevel="0" collapsed="false">
      <c r="B27" s="157" t="s">
        <v>163</v>
      </c>
      <c r="C27" s="157"/>
      <c r="D27" s="167" t="n">
        <f aca="false">SUM(I30:I32)</f>
        <v>6.95</v>
      </c>
      <c r="E27" s="167"/>
      <c r="F27" s="167"/>
      <c r="G27" s="167"/>
      <c r="H27" s="167"/>
      <c r="I27" s="167"/>
    </row>
    <row r="28" customFormat="false" ht="15.75" hidden="false" customHeight="true" outlineLevel="0" collapsed="false">
      <c r="B28" s="159"/>
      <c r="C28" s="159"/>
      <c r="D28" s="160"/>
      <c r="E28" s="160"/>
      <c r="F28" s="160"/>
      <c r="G28" s="160"/>
      <c r="H28" s="160"/>
      <c r="I28" s="160"/>
    </row>
    <row r="29" customFormat="false" ht="29.25" hidden="false" customHeight="true" outlineLevel="0" collapsed="false">
      <c r="B29" s="161"/>
      <c r="C29" s="161" t="s">
        <v>164</v>
      </c>
      <c r="D29" s="161" t="s">
        <v>122</v>
      </c>
      <c r="E29" s="161" t="s">
        <v>161</v>
      </c>
      <c r="F29" s="161" t="s">
        <v>123</v>
      </c>
      <c r="G29" s="161" t="s">
        <v>163</v>
      </c>
      <c r="H29" s="161" t="s">
        <v>165</v>
      </c>
      <c r="I29" s="161" t="s">
        <v>163</v>
      </c>
    </row>
    <row r="30" customFormat="false" ht="27.75" hidden="false" customHeight="true" outlineLevel="0" collapsed="false">
      <c r="B30" s="162" t="s">
        <v>166</v>
      </c>
      <c r="C30" s="162" t="s">
        <v>167</v>
      </c>
      <c r="D30" s="163" t="s">
        <v>168</v>
      </c>
      <c r="E30" s="163" t="s">
        <v>162</v>
      </c>
      <c r="F30" s="162" t="s">
        <v>169</v>
      </c>
      <c r="G30" s="164" t="n">
        <f aca="false">G14</f>
        <v>4.86</v>
      </c>
      <c r="H30" s="168" t="s">
        <v>170</v>
      </c>
      <c r="I30" s="164" t="n">
        <f aca="false">G30*H30</f>
        <v>4.86</v>
      </c>
    </row>
    <row r="31" customFormat="false" ht="27.75" hidden="false" customHeight="true" outlineLevel="0" collapsed="false">
      <c r="B31" s="162" t="s">
        <v>166</v>
      </c>
      <c r="C31" s="162" t="s">
        <v>171</v>
      </c>
      <c r="D31" s="163" t="s">
        <v>172</v>
      </c>
      <c r="E31" s="163" t="s">
        <v>162</v>
      </c>
      <c r="F31" s="162" t="s">
        <v>169</v>
      </c>
      <c r="G31" s="164" t="n">
        <f aca="false">G15</f>
        <v>1.49</v>
      </c>
      <c r="H31" s="168" t="s">
        <v>170</v>
      </c>
      <c r="I31" s="164" t="n">
        <f aca="false">G31*H31</f>
        <v>1.49</v>
      </c>
    </row>
    <row r="32" customFormat="false" ht="42" hidden="false" customHeight="true" outlineLevel="0" collapsed="false">
      <c r="B32" s="162" t="s">
        <v>166</v>
      </c>
      <c r="C32" s="162" t="s">
        <v>173</v>
      </c>
      <c r="D32" s="163" t="s">
        <v>174</v>
      </c>
      <c r="E32" s="163" t="s">
        <v>162</v>
      </c>
      <c r="F32" s="162" t="s">
        <v>169</v>
      </c>
      <c r="G32" s="164" t="n">
        <f aca="false">G16</f>
        <v>0.6</v>
      </c>
      <c r="H32" s="168" t="s">
        <v>170</v>
      </c>
      <c r="I32" s="164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69" width="5.2"/>
    <col collapsed="false" customWidth="true" hidden="false" outlineLevel="0" max="2" min="2" style="169" width="34.96"/>
    <col collapsed="false" customWidth="true" hidden="false" outlineLevel="0" max="3" min="3" style="169" width="28.85"/>
    <col collapsed="false" customWidth="true" hidden="false" outlineLevel="0" max="4" min="4" style="169" width="15.6"/>
    <col collapsed="false" customWidth="true" hidden="false" outlineLevel="0" max="5" min="5" style="169" width="7.79"/>
    <col collapsed="false" customWidth="false" hidden="false" outlineLevel="0" max="6" min="6" style="169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70" t="s">
        <v>182</v>
      </c>
    </row>
    <row r="3" customFormat="false" ht="15" hidden="false" customHeight="true" outlineLevel="0" collapsed="false">
      <c r="B3" s="171" t="s">
        <v>183</v>
      </c>
      <c r="C3" s="170" t="s">
        <v>184</v>
      </c>
    </row>
    <row r="4" customFormat="false" ht="15" hidden="false" customHeight="true" outlineLevel="0" collapsed="false">
      <c r="B4" s="171" t="s">
        <v>185</v>
      </c>
      <c r="C4" s="172" t="s">
        <v>186</v>
      </c>
    </row>
    <row r="5" customFormat="false" ht="15" hidden="false" customHeight="true" outlineLevel="0" collapsed="false">
      <c r="B5" s="171" t="s">
        <v>187</v>
      </c>
      <c r="C5" s="172" t="n">
        <v>45200</v>
      </c>
    </row>
    <row r="6" customFormat="false" ht="15" hidden="false" customHeight="true" outlineLevel="0" collapsed="false">
      <c r="B6" s="171" t="s">
        <v>188</v>
      </c>
      <c r="C6" s="173" t="n">
        <v>56.25</v>
      </c>
    </row>
    <row r="7" customFormat="false" ht="12.8" hidden="false" customHeight="false" outlineLevel="0" collapsed="false">
      <c r="B7" s="174"/>
      <c r="C7" s="175"/>
    </row>
    <row r="8" customFormat="false" ht="27.75" hidden="false" customHeight="true" outlineLevel="0" collapsed="false">
      <c r="B8" s="176" t="s">
        <v>189</v>
      </c>
      <c r="C8" s="177" t="s">
        <v>190</v>
      </c>
    </row>
    <row r="9" customFormat="false" ht="15" hidden="false" customHeight="true" outlineLevel="0" collapsed="false">
      <c r="B9" s="171" t="s">
        <v>191</v>
      </c>
      <c r="C9" s="178" t="n">
        <v>0.8708</v>
      </c>
    </row>
    <row r="10" customFormat="false" ht="15" hidden="false" customHeight="true" outlineLevel="0" collapsed="false">
      <c r="B10" s="171" t="s">
        <v>192</v>
      </c>
      <c r="C10" s="178" t="n">
        <v>1.17</v>
      </c>
    </row>
    <row r="11" customFormat="false" ht="13.5" hidden="false" customHeight="true" outlineLevel="0" collapsed="false">
      <c r="B11" s="174"/>
      <c r="C11" s="174"/>
    </row>
    <row r="12" customFormat="false" ht="15" hidden="false" customHeight="true" outlineLevel="0" collapsed="false">
      <c r="B12" s="179" t="s">
        <v>193</v>
      </c>
      <c r="C12" s="180"/>
    </row>
    <row r="13" customFormat="false" ht="15" hidden="false" customHeight="true" outlineLevel="0" collapsed="false">
      <c r="B13" s="171" t="s">
        <v>194</v>
      </c>
      <c r="C13" s="181" t="n">
        <f aca="false">C6*(1+C9)</f>
        <v>105.2325</v>
      </c>
      <c r="D13" s="182"/>
      <c r="F13" s="183"/>
    </row>
    <row r="14" customFormat="false" ht="15" hidden="false" customHeight="true" outlineLevel="0" collapsed="false">
      <c r="B14" s="171" t="s">
        <v>195</v>
      </c>
      <c r="C14" s="181" t="n">
        <f aca="false">C6*(1+C10)</f>
        <v>122.0625</v>
      </c>
      <c r="D14" s="182"/>
      <c r="F14" s="183"/>
    </row>
    <row r="16" customFormat="false" ht="32.25" hidden="false" customHeight="true" outlineLevel="0" collapsed="false">
      <c r="B16" s="184" t="s">
        <v>196</v>
      </c>
      <c r="C16" s="184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F80B07-0DA7-456F-8F32-EDE653ECD874}"/>
</file>

<file path=customXml/itemProps2.xml><?xml version="1.0" encoding="utf-8"?>
<ds:datastoreItem xmlns:ds="http://schemas.openxmlformats.org/officeDocument/2006/customXml" ds:itemID="{572E427C-9883-40DD-8964-2F39C644567C}"/>
</file>

<file path=customXml/itemProps3.xml><?xml version="1.0" encoding="utf-8"?>
<ds:datastoreItem xmlns:ds="http://schemas.openxmlformats.org/officeDocument/2006/customXml" ds:itemID="{37637E35-2460-4DAD-9E9E-EB5D0D7DDE5A}"/>
</file>

<file path=customXml/itemProps4.xml><?xml version="1.0" encoding="utf-8"?>
<ds:datastoreItem xmlns:ds="http://schemas.openxmlformats.org/officeDocument/2006/customXml" ds:itemID="{0A2E4EF2-1DDF-4078-90BB-9A57A21DDB23}"/>
</file>

<file path=customXml/itemProps5.xml><?xml version="1.0" encoding="utf-8"?>
<ds:datastoreItem xmlns:ds="http://schemas.openxmlformats.org/officeDocument/2006/customXml" ds:itemID="{5EF6495E-B3FB-4934-AC8C-C397DC7D02F2}"/>
</file>

<file path=customXml/itemProps6.xml><?xml version="1.0" encoding="utf-8"?>
<ds:datastoreItem xmlns:ds="http://schemas.openxmlformats.org/officeDocument/2006/customXml" ds:itemID="{1C1C1F1D-5041-4721-A724-605B06E3575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44</cp:revision>
  <dcterms:created xsi:type="dcterms:W3CDTF">2022-02-01T12:05:24Z</dcterms:created>
  <dcterms:modified xsi:type="dcterms:W3CDTF">2023-12-12T11:05:36Z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